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J Morais Engenharia e Empreendimentos\Clientes\A138 - PREFEITURA DE CEDRO DO ABAETÉ\PACOTE 2023\SERVIÇOS\CAPELA VELÓRIO\PLANILHA ORÇAMENTÁRIA E MEMORIAL\"/>
    </mc:Choice>
  </mc:AlternateContent>
  <xr:revisionPtr revIDLastSave="0" documentId="13_ncr:201_{0DF280D6-861F-4373-A452-B1C687DBDDE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ilha" sheetId="1" r:id="rId1"/>
    <sheet name="memória de cálculo" sheetId="4" r:id="rId2"/>
    <sheet name="cronograma" sheetId="2" r:id="rId3"/>
    <sheet name="BDI" sheetId="5" r:id="rId4"/>
  </sheets>
  <externalReferences>
    <externalReference r:id="rId5"/>
  </externalReferences>
  <definedNames>
    <definedName name="_xlnm.Print_Area" localSheetId="3">BDI!$A$1:$I$27</definedName>
    <definedName name="_xlnm.Print_Area" localSheetId="2">cronograma!$A$1:$J$24</definedName>
    <definedName name="_xlnm.Print_Area" localSheetId="0">Planilha!$A$1:$J$85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9" i="1" l="1"/>
  <c r="G15" i="2"/>
  <c r="G77" i="1"/>
  <c r="B18" i="2"/>
  <c r="B16" i="2"/>
  <c r="B14" i="2"/>
  <c r="B12" i="2"/>
  <c r="B10" i="2"/>
  <c r="B8" i="2"/>
  <c r="B6" i="2"/>
  <c r="A2" i="2"/>
  <c r="A4" i="2"/>
  <c r="A3" i="2"/>
  <c r="I18" i="2"/>
  <c r="I16" i="2"/>
  <c r="I14" i="2"/>
  <c r="I12" i="2"/>
  <c r="I10" i="2"/>
  <c r="I8" i="2"/>
  <c r="I6" i="2"/>
  <c r="J77" i="4" l="1"/>
  <c r="F77" i="1" s="1"/>
  <c r="J76" i="4" l="1"/>
  <c r="A77" i="4"/>
  <c r="B77" i="4"/>
  <c r="C77" i="4"/>
  <c r="D77" i="4"/>
  <c r="E77" i="4"/>
  <c r="J58" i="4"/>
  <c r="F58" i="1" s="1"/>
  <c r="H58" i="1" s="1"/>
  <c r="J57" i="4"/>
  <c r="F57" i="1" s="1"/>
  <c r="A57" i="4"/>
  <c r="B57" i="4"/>
  <c r="C57" i="4"/>
  <c r="D57" i="4"/>
  <c r="E57" i="4"/>
  <c r="A58" i="4"/>
  <c r="B58" i="4"/>
  <c r="C58" i="4"/>
  <c r="D58" i="4"/>
  <c r="E58" i="4"/>
  <c r="J59" i="4"/>
  <c r="F59" i="1" s="1"/>
  <c r="H59" i="1" s="1"/>
  <c r="J60" i="4"/>
  <c r="F60" i="1" s="1"/>
  <c r="J64" i="4"/>
  <c r="F64" i="1" s="1"/>
  <c r="H64" i="1" s="1"/>
  <c r="J49" i="4"/>
  <c r="F49" i="1" s="1"/>
  <c r="J50" i="4"/>
  <c r="F50" i="1" s="1"/>
  <c r="J51" i="4"/>
  <c r="F51" i="1" s="1"/>
  <c r="J48" i="4"/>
  <c r="F48" i="1" s="1"/>
  <c r="J78" i="4"/>
  <c r="F78" i="1" s="1"/>
  <c r="F72" i="1"/>
  <c r="H72" i="1" s="1"/>
  <c r="J71" i="4"/>
  <c r="F71" i="1" s="1"/>
  <c r="H71" i="1" s="1"/>
  <c r="J74" i="4"/>
  <c r="F74" i="1" s="1"/>
  <c r="H74" i="1" s="1"/>
  <c r="J73" i="4"/>
  <c r="F73" i="1" s="1"/>
  <c r="H73" i="1" s="1"/>
  <c r="A74" i="4"/>
  <c r="B74" i="4"/>
  <c r="C74" i="4"/>
  <c r="D74" i="4"/>
  <c r="E74" i="4"/>
  <c r="E73" i="4"/>
  <c r="D73" i="4"/>
  <c r="C73" i="4"/>
  <c r="B73" i="4"/>
  <c r="A73" i="4"/>
  <c r="E72" i="4"/>
  <c r="D72" i="4"/>
  <c r="C72" i="4"/>
  <c r="B72" i="4"/>
  <c r="A72" i="4"/>
  <c r="E71" i="4"/>
  <c r="D71" i="4"/>
  <c r="C71" i="4"/>
  <c r="B71" i="4"/>
  <c r="A71" i="4"/>
  <c r="B70" i="4"/>
  <c r="A70" i="4"/>
  <c r="J67" i="4"/>
  <c r="F67" i="1" s="1"/>
  <c r="J68" i="4"/>
  <c r="F68" i="1" s="1"/>
  <c r="J69" i="4"/>
  <c r="F69" i="1" s="1"/>
  <c r="F76" i="1"/>
  <c r="E78" i="4"/>
  <c r="D78" i="4"/>
  <c r="C78" i="4"/>
  <c r="B78" i="4"/>
  <c r="A78" i="4"/>
  <c r="E76" i="4"/>
  <c r="D76" i="4"/>
  <c r="C76" i="4"/>
  <c r="B76" i="4"/>
  <c r="A76" i="4"/>
  <c r="B75" i="4"/>
  <c r="A75" i="4"/>
  <c r="J65" i="4"/>
  <c r="F65" i="1" s="1"/>
  <c r="H65" i="1" s="1"/>
  <c r="J61" i="4"/>
  <c r="F61" i="1" s="1"/>
  <c r="H61" i="1" s="1"/>
  <c r="J20" i="4"/>
  <c r="F20" i="1" s="1"/>
  <c r="J21" i="4"/>
  <c r="F21" i="1" s="1"/>
  <c r="A21" i="4"/>
  <c r="B21" i="4"/>
  <c r="C21" i="4"/>
  <c r="D21" i="4"/>
  <c r="E21" i="4"/>
  <c r="A20" i="4"/>
  <c r="B20" i="4"/>
  <c r="C20" i="4"/>
  <c r="D20" i="4"/>
  <c r="E20" i="4"/>
  <c r="F13" i="1"/>
  <c r="H13" i="1" s="1"/>
  <c r="A13" i="4"/>
  <c r="B13" i="4"/>
  <c r="C13" i="4"/>
  <c r="D13" i="4"/>
  <c r="E13" i="4"/>
  <c r="E69" i="4"/>
  <c r="D69" i="4"/>
  <c r="C69" i="4"/>
  <c r="B69" i="4"/>
  <c r="A69" i="4"/>
  <c r="E68" i="4"/>
  <c r="D68" i="4"/>
  <c r="C68" i="4"/>
  <c r="B68" i="4"/>
  <c r="A68" i="4"/>
  <c r="E67" i="4"/>
  <c r="D67" i="4"/>
  <c r="C67" i="4"/>
  <c r="B67" i="4"/>
  <c r="A67" i="4"/>
  <c r="B66" i="4"/>
  <c r="A66" i="4"/>
  <c r="J62" i="4"/>
  <c r="F62" i="1" s="1"/>
  <c r="H62" i="1" s="1"/>
  <c r="A62" i="4"/>
  <c r="B62" i="4"/>
  <c r="C62" i="4"/>
  <c r="D62" i="4"/>
  <c r="E62" i="4"/>
  <c r="A59" i="4"/>
  <c r="B59" i="4"/>
  <c r="C59" i="4"/>
  <c r="D59" i="4"/>
  <c r="E59" i="4"/>
  <c r="J46" i="4"/>
  <c r="F46" i="1" s="1"/>
  <c r="H46" i="1" s="1"/>
  <c r="J45" i="4"/>
  <c r="F45" i="1" s="1"/>
  <c r="J44" i="4"/>
  <c r="F44" i="1" s="1"/>
  <c r="E46" i="4"/>
  <c r="D46" i="4"/>
  <c r="C46" i="4"/>
  <c r="B46" i="4"/>
  <c r="A46" i="4"/>
  <c r="E45" i="4"/>
  <c r="D45" i="4"/>
  <c r="C45" i="4"/>
  <c r="B45" i="4"/>
  <c r="A45" i="4"/>
  <c r="E44" i="4"/>
  <c r="D44" i="4"/>
  <c r="C44" i="4"/>
  <c r="B44" i="4"/>
  <c r="A44" i="4"/>
  <c r="B43" i="4"/>
  <c r="A43" i="4"/>
  <c r="J53" i="4"/>
  <c r="F53" i="1" s="1"/>
  <c r="H53" i="1" s="1"/>
  <c r="H52" i="1" s="1"/>
  <c r="J35" i="4"/>
  <c r="F35" i="1" s="1"/>
  <c r="J41" i="4"/>
  <c r="F41" i="1" s="1"/>
  <c r="H41" i="1" s="1"/>
  <c r="J38" i="4"/>
  <c r="F38" i="1" s="1"/>
  <c r="J40" i="4"/>
  <c r="J37" i="4"/>
  <c r="F37" i="1" s="1"/>
  <c r="J39" i="4"/>
  <c r="F39" i="1" s="1"/>
  <c r="H39" i="1" s="1"/>
  <c r="J36" i="4"/>
  <c r="F36" i="1" s="1"/>
  <c r="J34" i="4"/>
  <c r="F34" i="1" s="1"/>
  <c r="B40" i="4"/>
  <c r="C40" i="4"/>
  <c r="D40" i="4"/>
  <c r="E40" i="4"/>
  <c r="J80" i="4"/>
  <c r="B38" i="4"/>
  <c r="C38" i="4"/>
  <c r="D38" i="4"/>
  <c r="E38" i="4"/>
  <c r="B36" i="4"/>
  <c r="C36" i="4"/>
  <c r="D36" i="4"/>
  <c r="E36" i="4"/>
  <c r="F25" i="1"/>
  <c r="F26" i="1"/>
  <c r="F23" i="1"/>
  <c r="F19" i="1"/>
  <c r="J55" i="4"/>
  <c r="F55" i="1" s="1"/>
  <c r="H55" i="1" s="1"/>
  <c r="H54" i="1" s="1"/>
  <c r="B47" i="4"/>
  <c r="J32" i="4"/>
  <c r="F32" i="1" s="1"/>
  <c r="H32" i="1" s="1"/>
  <c r="J17" i="4"/>
  <c r="F17" i="1" s="1"/>
  <c r="J31" i="4"/>
  <c r="F31" i="1" s="1"/>
  <c r="J30" i="4"/>
  <c r="F30" i="1" s="1"/>
  <c r="J29" i="4"/>
  <c r="F29" i="1" s="1"/>
  <c r="J18" i="4"/>
  <c r="F18" i="1" s="1"/>
  <c r="J28" i="4"/>
  <c r="F28" i="1" s="1"/>
  <c r="J27" i="4"/>
  <c r="F27" i="1" s="1"/>
  <c r="J24" i="4"/>
  <c r="F24" i="1" s="1"/>
  <c r="J16" i="4"/>
  <c r="F16" i="1" s="1"/>
  <c r="J15" i="4"/>
  <c r="D61" i="4"/>
  <c r="A64" i="4"/>
  <c r="B64" i="4"/>
  <c r="C64" i="4"/>
  <c r="D64" i="4"/>
  <c r="E64" i="4"/>
  <c r="A65" i="4"/>
  <c r="B65" i="4"/>
  <c r="C65" i="4"/>
  <c r="D65" i="4"/>
  <c r="E65" i="4"/>
  <c r="A60" i="4"/>
  <c r="B60" i="4"/>
  <c r="C60" i="4"/>
  <c r="D60" i="4"/>
  <c r="E60" i="4"/>
  <c r="A61" i="4"/>
  <c r="B61" i="4"/>
  <c r="C61" i="4"/>
  <c r="E61" i="4"/>
  <c r="A49" i="4"/>
  <c r="B49" i="4"/>
  <c r="C49" i="4"/>
  <c r="D49" i="4"/>
  <c r="E49" i="4"/>
  <c r="A50" i="4"/>
  <c r="B50" i="4"/>
  <c r="C50" i="4"/>
  <c r="D50" i="4"/>
  <c r="E50" i="4"/>
  <c r="A51" i="4"/>
  <c r="B51" i="4"/>
  <c r="C51" i="4"/>
  <c r="D51" i="4"/>
  <c r="E51" i="4"/>
  <c r="A39" i="4"/>
  <c r="B39" i="4"/>
  <c r="C39" i="4"/>
  <c r="D39" i="4"/>
  <c r="E39" i="4"/>
  <c r="A41" i="4"/>
  <c r="B41" i="4"/>
  <c r="C41" i="4"/>
  <c r="D41" i="4"/>
  <c r="E41" i="4"/>
  <c r="A35" i="4"/>
  <c r="B35" i="4"/>
  <c r="C35" i="4"/>
  <c r="D35" i="4"/>
  <c r="E35" i="4"/>
  <c r="A37" i="4"/>
  <c r="B37" i="4"/>
  <c r="C37" i="4"/>
  <c r="D37" i="4"/>
  <c r="E37" i="4"/>
  <c r="E55" i="4"/>
  <c r="D55" i="4"/>
  <c r="C55" i="4"/>
  <c r="B55" i="4"/>
  <c r="A55" i="4"/>
  <c r="E53" i="4"/>
  <c r="D53" i="4"/>
  <c r="C53" i="4"/>
  <c r="B53" i="4"/>
  <c r="A53" i="4"/>
  <c r="E48" i="4"/>
  <c r="D48" i="4"/>
  <c r="C48" i="4"/>
  <c r="B48" i="4"/>
  <c r="A48" i="4"/>
  <c r="E34" i="4"/>
  <c r="D34" i="4"/>
  <c r="C34" i="4"/>
  <c r="B34" i="4"/>
  <c r="A34" i="4"/>
  <c r="A24" i="4"/>
  <c r="B24" i="4"/>
  <c r="C24" i="4"/>
  <c r="D24" i="4"/>
  <c r="E24" i="4"/>
  <c r="A25" i="4"/>
  <c r="B25" i="4"/>
  <c r="C25" i="4"/>
  <c r="D25" i="4"/>
  <c r="E25" i="4"/>
  <c r="A26" i="4"/>
  <c r="B26" i="4"/>
  <c r="C26" i="4"/>
  <c r="D26" i="4"/>
  <c r="E26" i="4"/>
  <c r="A27" i="4"/>
  <c r="B27" i="4"/>
  <c r="C27" i="4"/>
  <c r="D27" i="4"/>
  <c r="E27" i="4"/>
  <c r="A28" i="4"/>
  <c r="B28" i="4"/>
  <c r="C28" i="4"/>
  <c r="D28" i="4"/>
  <c r="E28" i="4"/>
  <c r="A29" i="4"/>
  <c r="B29" i="4"/>
  <c r="C29" i="4"/>
  <c r="D29" i="4"/>
  <c r="E29" i="4"/>
  <c r="A30" i="4"/>
  <c r="B30" i="4"/>
  <c r="C30" i="4"/>
  <c r="D30" i="4"/>
  <c r="E30" i="4"/>
  <c r="A31" i="4"/>
  <c r="B31" i="4"/>
  <c r="C31" i="4"/>
  <c r="D31" i="4"/>
  <c r="E31" i="4"/>
  <c r="A32" i="4"/>
  <c r="B32" i="4"/>
  <c r="C32" i="4"/>
  <c r="D32" i="4"/>
  <c r="E32" i="4"/>
  <c r="E23" i="4"/>
  <c r="D23" i="4"/>
  <c r="C23" i="4"/>
  <c r="B23" i="4"/>
  <c r="A23" i="4"/>
  <c r="E16" i="4"/>
  <c r="E17" i="4"/>
  <c r="E18" i="4"/>
  <c r="E19" i="4"/>
  <c r="A16" i="4"/>
  <c r="B16" i="4"/>
  <c r="C16" i="4"/>
  <c r="D16" i="4"/>
  <c r="A17" i="4"/>
  <c r="B17" i="4"/>
  <c r="C17" i="4"/>
  <c r="D17" i="4"/>
  <c r="A18" i="4"/>
  <c r="B18" i="4"/>
  <c r="C18" i="4"/>
  <c r="D18" i="4"/>
  <c r="A19" i="4"/>
  <c r="B19" i="4"/>
  <c r="C19" i="4"/>
  <c r="D19" i="4"/>
  <c r="B63" i="4"/>
  <c r="A63" i="4"/>
  <c r="B56" i="4"/>
  <c r="A56" i="4"/>
  <c r="B54" i="4"/>
  <c r="A54" i="4"/>
  <c r="B52" i="4"/>
  <c r="A52" i="4"/>
  <c r="A47" i="4"/>
  <c r="B42" i="4"/>
  <c r="A42" i="4"/>
  <c r="B33" i="4"/>
  <c r="A33" i="4"/>
  <c r="B22" i="4"/>
  <c r="A22" i="4"/>
  <c r="H77" i="1" l="1"/>
  <c r="H57" i="1"/>
  <c r="H63" i="1"/>
  <c r="H70" i="1"/>
  <c r="H78" i="1"/>
  <c r="H76" i="1"/>
  <c r="H21" i="1"/>
  <c r="H20" i="1"/>
  <c r="H67" i="1"/>
  <c r="H68" i="1"/>
  <c r="H44" i="1"/>
  <c r="F40" i="1"/>
  <c r="H40" i="1" s="1"/>
  <c r="H45" i="1"/>
  <c r="H60" i="1"/>
  <c r="H37" i="1"/>
  <c r="H38" i="1"/>
  <c r="H36" i="1"/>
  <c r="H49" i="1"/>
  <c r="H50" i="1"/>
  <c r="H31" i="1"/>
  <c r="H16" i="1"/>
  <c r="H51" i="1"/>
  <c r="H28" i="1"/>
  <c r="H29" i="1"/>
  <c r="H48" i="1"/>
  <c r="H75" i="1" l="1"/>
  <c r="H56" i="1"/>
  <c r="H66" i="1"/>
  <c r="H43" i="1"/>
  <c r="H47" i="1"/>
  <c r="H23" i="1"/>
  <c r="H24" i="1"/>
  <c r="H25" i="1"/>
  <c r="H42" i="1" l="1"/>
  <c r="H19" i="1"/>
  <c r="H26" i="1"/>
  <c r="H35" i="1"/>
  <c r="F11" i="1"/>
  <c r="H34" i="1" l="1"/>
  <c r="F12" i="1"/>
  <c r="H18" i="1" l="1"/>
  <c r="H30" i="1" l="1"/>
  <c r="I7" i="5"/>
  <c r="A12" i="4" l="1"/>
  <c r="B12" i="4"/>
  <c r="C12" i="4"/>
  <c r="D12" i="4"/>
  <c r="E12" i="4"/>
  <c r="H12" i="1" l="1"/>
  <c r="D4" i="5"/>
  <c r="H27" i="1" l="1"/>
  <c r="H22" i="1" s="1"/>
  <c r="E81" i="4" l="1"/>
  <c r="A84" i="4"/>
  <c r="C18" i="5"/>
  <c r="F80" i="1"/>
  <c r="H80" i="1" s="1"/>
  <c r="H79" i="1" s="1"/>
  <c r="F15" i="1"/>
  <c r="H15" i="1" s="1"/>
  <c r="E80" i="4"/>
  <c r="D80" i="4"/>
  <c r="C80" i="4"/>
  <c r="B80" i="4"/>
  <c r="A80" i="4"/>
  <c r="B79" i="4"/>
  <c r="A79" i="4"/>
  <c r="E15" i="4"/>
  <c r="D15" i="4"/>
  <c r="C15" i="4"/>
  <c r="B15" i="4"/>
  <c r="A15" i="4"/>
  <c r="B14" i="4"/>
  <c r="A14" i="4"/>
  <c r="F10" i="1"/>
  <c r="H33" i="1" l="1"/>
  <c r="A3" i="5" l="1"/>
  <c r="J3" i="1" l="1"/>
  <c r="J3" i="4"/>
  <c r="H5" i="5"/>
  <c r="I77" i="1" l="1"/>
  <c r="J77" i="1" s="1"/>
  <c r="I58" i="1"/>
  <c r="J58" i="1" s="1"/>
  <c r="I57" i="1"/>
  <c r="J57" i="1" s="1"/>
  <c r="I78" i="1"/>
  <c r="J78" i="1" s="1"/>
  <c r="I72" i="1"/>
  <c r="J72" i="1" s="1"/>
  <c r="I73" i="1"/>
  <c r="J73" i="1" s="1"/>
  <c r="I74" i="1"/>
  <c r="J74" i="1" s="1"/>
  <c r="I71" i="1"/>
  <c r="J71" i="1" s="1"/>
  <c r="I21" i="1"/>
  <c r="J21" i="1" s="1"/>
  <c r="I76" i="1"/>
  <c r="J76" i="1" s="1"/>
  <c r="I20" i="1"/>
  <c r="J20" i="1" s="1"/>
  <c r="I13" i="1"/>
  <c r="J13" i="1" s="1"/>
  <c r="I59" i="1"/>
  <c r="J59" i="1" s="1"/>
  <c r="I62" i="1"/>
  <c r="J62" i="1" s="1"/>
  <c r="I69" i="1"/>
  <c r="J69" i="1" s="1"/>
  <c r="I67" i="1"/>
  <c r="J67" i="1" s="1"/>
  <c r="I68" i="1"/>
  <c r="J68" i="1" s="1"/>
  <c r="I46" i="1"/>
  <c r="J46" i="1" s="1"/>
  <c r="I44" i="1"/>
  <c r="J44" i="1" s="1"/>
  <c r="I45" i="1"/>
  <c r="J45" i="1" s="1"/>
  <c r="I55" i="1"/>
  <c r="J55" i="1" s="1"/>
  <c r="J54" i="1" s="1"/>
  <c r="I61" i="1"/>
  <c r="J61" i="1" s="1"/>
  <c r="I53" i="1"/>
  <c r="J53" i="1" s="1"/>
  <c r="J52" i="1" s="1"/>
  <c r="I49" i="1"/>
  <c r="J49" i="1" s="1"/>
  <c r="I65" i="1"/>
  <c r="J65" i="1" s="1"/>
  <c r="I51" i="1"/>
  <c r="J51" i="1" s="1"/>
  <c r="I48" i="1"/>
  <c r="J48" i="1" s="1"/>
  <c r="I64" i="1"/>
  <c r="J64" i="1" s="1"/>
  <c r="I50" i="1"/>
  <c r="J50" i="1" s="1"/>
  <c r="I60" i="1"/>
  <c r="J60" i="1" s="1"/>
  <c r="I36" i="1"/>
  <c r="J36" i="1" s="1"/>
  <c r="I37" i="1"/>
  <c r="J37" i="1" s="1"/>
  <c r="I38" i="1"/>
  <c r="J38" i="1" s="1"/>
  <c r="I39" i="1"/>
  <c r="J39" i="1" s="1"/>
  <c r="I40" i="1"/>
  <c r="J40" i="1" s="1"/>
  <c r="I16" i="1"/>
  <c r="J16" i="1" s="1"/>
  <c r="I41" i="1"/>
  <c r="J41" i="1" s="1"/>
  <c r="I32" i="1"/>
  <c r="J32" i="1" s="1"/>
  <c r="I31" i="1"/>
  <c r="J31" i="1" s="1"/>
  <c r="I28" i="1"/>
  <c r="J28" i="1" s="1"/>
  <c r="I29" i="1"/>
  <c r="J29" i="1" s="1"/>
  <c r="I23" i="1"/>
  <c r="J23" i="1" s="1"/>
  <c r="I24" i="1"/>
  <c r="J24" i="1" s="1"/>
  <c r="I25" i="1"/>
  <c r="J25" i="1" s="1"/>
  <c r="I26" i="1"/>
  <c r="J26" i="1" s="1"/>
  <c r="I35" i="1"/>
  <c r="J35" i="1" s="1"/>
  <c r="I19" i="1"/>
  <c r="J19" i="1" s="1"/>
  <c r="I18" i="1"/>
  <c r="J18" i="1" s="1"/>
  <c r="I30" i="1"/>
  <c r="J30" i="1" s="1"/>
  <c r="I34" i="1"/>
  <c r="J34" i="1" s="1"/>
  <c r="I12" i="1"/>
  <c r="J12" i="1" s="1"/>
  <c r="I27" i="1"/>
  <c r="J27" i="1" s="1"/>
  <c r="I15" i="1"/>
  <c r="J15" i="1" s="1"/>
  <c r="I80" i="1"/>
  <c r="J80" i="1" s="1"/>
  <c r="J79" i="1" s="1"/>
  <c r="E19" i="2" s="1"/>
  <c r="H19" i="2" l="1"/>
  <c r="I19" i="2" s="1"/>
  <c r="J75" i="1"/>
  <c r="E17" i="2" s="1"/>
  <c r="J56" i="1"/>
  <c r="J70" i="1"/>
  <c r="J63" i="1"/>
  <c r="J66" i="1"/>
  <c r="J43" i="1"/>
  <c r="J47" i="1"/>
  <c r="J33" i="1"/>
  <c r="E13" i="2" s="1"/>
  <c r="J22" i="1"/>
  <c r="E11" i="2" s="1"/>
  <c r="G17" i="2" l="1"/>
  <c r="H17" i="2"/>
  <c r="G13" i="2"/>
  <c r="F13" i="2"/>
  <c r="H13" i="2"/>
  <c r="F11" i="2"/>
  <c r="I11" i="2" s="1"/>
  <c r="J42" i="1"/>
  <c r="E15" i="2" s="1"/>
  <c r="I17" i="1"/>
  <c r="I11" i="1"/>
  <c r="I9" i="1"/>
  <c r="J9" i="4"/>
  <c r="G20" i="2" l="1"/>
  <c r="I13" i="2"/>
  <c r="H15" i="2"/>
  <c r="I15" i="2" s="1"/>
  <c r="I17" i="2"/>
  <c r="B5" i="4"/>
  <c r="B4" i="4"/>
  <c r="B3" i="4"/>
  <c r="H20" i="2" l="1"/>
  <c r="I10" i="1"/>
  <c r="H17" i="1"/>
  <c r="H14" i="1" s="1"/>
  <c r="J9" i="1"/>
  <c r="A8" i="4"/>
  <c r="A10" i="4"/>
  <c r="B10" i="4"/>
  <c r="C10" i="4"/>
  <c r="D10" i="4"/>
  <c r="E10" i="4"/>
  <c r="A11" i="4"/>
  <c r="B11" i="4"/>
  <c r="C11" i="4"/>
  <c r="D11" i="4"/>
  <c r="E11" i="4"/>
  <c r="E9" i="4"/>
  <c r="D9" i="4"/>
  <c r="C9" i="4"/>
  <c r="B9" i="4"/>
  <c r="A9" i="4"/>
  <c r="B8" i="4"/>
  <c r="H11" i="1" l="1"/>
  <c r="J11" i="1"/>
  <c r="J10" i="1"/>
  <c r="J17" i="1"/>
  <c r="J14" i="1" s="1"/>
  <c r="E9" i="2" s="1"/>
  <c r="F9" i="2" l="1"/>
  <c r="J8" i="1"/>
  <c r="J81" i="1" l="1"/>
  <c r="E7" i="2"/>
  <c r="I9" i="2"/>
  <c r="H10" i="1"/>
  <c r="E20" i="2" l="1"/>
  <c r="E6" i="2" s="1"/>
  <c r="F7" i="2"/>
  <c r="H2" i="4"/>
  <c r="H1" i="4"/>
  <c r="I7" i="2" l="1"/>
  <c r="I20" i="2" s="1"/>
  <c r="F20" i="2"/>
  <c r="E18" i="2"/>
  <c r="E10" i="2"/>
  <c r="E12" i="2"/>
  <c r="E16" i="2"/>
  <c r="E14" i="2"/>
  <c r="E8" i="2"/>
  <c r="H9" i="1"/>
  <c r="H8" i="1" l="1"/>
  <c r="H81" i="1" s="1"/>
  <c r="F18" i="5" l="1"/>
  <c r="G18" i="5" s="1"/>
  <c r="H18" i="5" s="1"/>
  <c r="I18" i="5" s="1"/>
  <c r="I19" i="5" s="1"/>
  <c r="D5" i="5" l="1"/>
  <c r="G19" i="5"/>
</calcChain>
</file>

<file path=xl/sharedStrings.xml><?xml version="1.0" encoding="utf-8"?>
<sst xmlns="http://schemas.openxmlformats.org/spreadsheetml/2006/main" count="513" uniqueCount="322">
  <si>
    <t xml:space="preserve">UN </t>
  </si>
  <si>
    <t>CÓDIGO</t>
  </si>
  <si>
    <t>ITEM</t>
  </si>
  <si>
    <t>DISCRIMINAÇÃO</t>
  </si>
  <si>
    <t>QUANT.</t>
  </si>
  <si>
    <t>PREÇO DE CUSTO</t>
  </si>
  <si>
    <t>PR. TOTAL</t>
  </si>
  <si>
    <t>PLANILHA DE CUSTOS</t>
  </si>
  <si>
    <t>(1 - (I + CPRB))</t>
  </si>
  <si>
    <t>Observação:
Composição do BDI conforme parâmetros do Acórdão
2622/2013 do TCU</t>
  </si>
  <si>
    <t>ED-50266</t>
  </si>
  <si>
    <t>CRONOGRAMA FÍSICO-FINANCEIRO</t>
  </si>
  <si>
    <t>ETAPAS/DESCRIÇÃO</t>
  </si>
  <si>
    <t>FÍSICO/ FINANCEIRO</t>
  </si>
  <si>
    <t>TOTAL  ETAPAS</t>
  </si>
  <si>
    <t>MÊS 1</t>
  </si>
  <si>
    <t>TOTAL</t>
  </si>
  <si>
    <t>Físico %</t>
  </si>
  <si>
    <t>Financeiro</t>
  </si>
  <si>
    <t>1.1</t>
  </si>
  <si>
    <t>Setop</t>
  </si>
  <si>
    <t>BDI=</t>
  </si>
  <si>
    <t>____________________________________</t>
  </si>
  <si>
    <t>LIMPEZA FINAL PARA ENTREGA DA OBRA</t>
  </si>
  <si>
    <t>MEMÓRIA DE CÁLCULO</t>
  </si>
  <si>
    <t>DESCRIÇÃO</t>
  </si>
  <si>
    <t>FÓRMULA</t>
  </si>
  <si>
    <t>QUANTIDADE</t>
  </si>
  <si>
    <t>m</t>
  </si>
  <si>
    <t>m²</t>
  </si>
  <si>
    <t>JOÃO RAFAEL BUENO DE MORAIS LOPES</t>
  </si>
  <si>
    <t>CREA-MG:235527/D</t>
  </si>
  <si>
    <t xml:space="preserve">PRAZO </t>
  </si>
  <si>
    <t>CREA/MG</t>
  </si>
  <si>
    <t>vb</t>
  </si>
  <si>
    <t>1.2</t>
  </si>
  <si>
    <t>PREFEITURA MUNICIPAL DE CEDRO DO ABAETÉ - MG</t>
  </si>
  <si>
    <t>1.3</t>
  </si>
  <si>
    <t>mês</t>
  </si>
  <si>
    <t>1.4</t>
  </si>
  <si>
    <t>comprimento x altura</t>
  </si>
  <si>
    <t>unidade</t>
  </si>
  <si>
    <t>cronograma</t>
  </si>
  <si>
    <t>-</t>
  </si>
  <si>
    <t>ANOTAÇÃO DE RESPONSABILIDADE TÉCNICA DE EXECUÇÃO / EMISSÃO DE CAT</t>
  </si>
  <si>
    <t>TOTAL POR PERÍODO</t>
  </si>
  <si>
    <t>OBS: 1) Todos os itens deverão estar completamente concluídos e dentro das especificações de projetos para medição da etapa.</t>
  </si>
  <si>
    <t>BDI</t>
  </si>
  <si>
    <t>_______________________________________________</t>
  </si>
  <si>
    <t>COMPOSIÇÃO DE BDI</t>
  </si>
  <si>
    <t>DATA BASE: SETOP 03/2022</t>
  </si>
  <si>
    <t>DATA: JUNHO/2022</t>
  </si>
  <si>
    <t>ORGÃO GESTOR: PREFEITURA MUNICIPAL DE CEDRO DO ABAETÉ-MG</t>
  </si>
  <si>
    <t xml:space="preserve"> </t>
  </si>
  <si>
    <t>SEM Desoneração: Digite S(sim) ou N(não)</t>
  </si>
  <si>
    <t>N</t>
  </si>
  <si>
    <t>COM Desoneração: Digite S(sim) ou N(não)</t>
  </si>
  <si>
    <t>S</t>
  </si>
  <si>
    <t>Garantia (G):</t>
  </si>
  <si>
    <t xml:space="preserve"> 0,80% a 1,00%</t>
  </si>
  <si>
    <t>Composição do BDI, intervalos admissíveis e Fórmula de cálculo nos termos do Acórdão 2622/2013 do TCU.</t>
  </si>
  <si>
    <t>Risco (R) :</t>
  </si>
  <si>
    <t>0,97% a 1,27%</t>
  </si>
  <si>
    <t>Desp. financeiras (DF):</t>
  </si>
  <si>
    <t>0,59% a 1,39%</t>
  </si>
  <si>
    <t>Adm. Central (AC):</t>
  </si>
  <si>
    <t>3,00% a 5,50%</t>
  </si>
  <si>
    <t>Lucro (L):</t>
  </si>
  <si>
    <t>6,16% a 8,96%</t>
  </si>
  <si>
    <t>CPRB:</t>
  </si>
  <si>
    <t>Tributos (T):</t>
  </si>
  <si>
    <t>VALORES (R$)</t>
  </si>
  <si>
    <t>DESCRIÇÃO DOS SERVIÇOS</t>
  </si>
  <si>
    <t xml:space="preserve">UND. </t>
  </si>
  <si>
    <t>TOTAL ITEM</t>
  </si>
  <si>
    <t>VALOR TOTAL DO EMPREENDIMENTO</t>
  </si>
  <si>
    <t>PREFEITURA MUNICIPAL DE CEDRO DO ABAETÉ</t>
  </si>
  <si>
    <t>UNITÁRIO S/ BDI</t>
  </si>
  <si>
    <t>UNITÁRIO C/BDI</t>
  </si>
  <si>
    <t>1,50 x 3,00</t>
  </si>
  <si>
    <t xml:space="preserve">ENGENHEIRO CIVIL </t>
  </si>
  <si>
    <t>CREA - 235.527/D</t>
  </si>
  <si>
    <t>OBS: 1) Todos os itens deverão estar completamente concluídos e dentro das especificações de projetos para medição da etapa. Os materiais empregados, deverão rigorosamente seguir as especificações de qualidade destacadas na presente planilha.</t>
  </si>
  <si>
    <t>PREÇO DE CUSTO COM BDI</t>
  </si>
  <si>
    <t>CONTAINER 6,0X2,30X2,82M COM ISOLAMENTO TERMICO</t>
  </si>
  <si>
    <t>89.50.02</t>
  </si>
  <si>
    <t xml:space="preserve">SERVIÇOS PRELIMINARES </t>
  </si>
  <si>
    <t>VALOR TOTAL GLOBAL</t>
  </si>
  <si>
    <t>Sudecap (Insumos)</t>
  </si>
  <si>
    <t>Sudecap (Construção)</t>
  </si>
  <si>
    <t>1.5</t>
  </si>
  <si>
    <t>BANHEIRO QUIMICO 110X120X230CM COM MANUTENCAO</t>
  </si>
  <si>
    <t>01.10.01</t>
  </si>
  <si>
    <r>
      <t xml:space="preserve"> </t>
    </r>
    <r>
      <rPr>
        <b/>
        <u/>
        <sz val="12"/>
        <color rgb="FF000000"/>
        <rFont val="Arial"/>
        <family val="2"/>
      </rPr>
      <t>1 + (AC + S + G + R)) x (1 + DF) x (1 + L)</t>
    </r>
  </si>
  <si>
    <t>PR. UNIT.</t>
  </si>
  <si>
    <t>JOÃO RAFAEL BUENO DE MORAIS LOPES
CREA-MG:235527/D</t>
  </si>
  <si>
    <t>CAPELA VELÓRIO DO CEMITÉRIO MUNICIPAL</t>
  </si>
  <si>
    <t>LOCAL:  RUA RIO INDAIÁ, CEDRO DO ABAETÉ - MG</t>
  </si>
  <si>
    <t>01.03.03</t>
  </si>
  <si>
    <t xml:space="preserve"> PLACA DE OBRA EM CHAPA GALVANIZADA ADESIVADA, DIMENSÕES  2,40 X 1,20 M, PADRÃO CE</t>
  </si>
  <si>
    <t>SINAPI</t>
  </si>
  <si>
    <t>ESCAVAÇÃO MANUAL PARA BLOCO DE COROAMENTO OU SAPATA (SEM ESCAVAÇÃO PARA COLOCAÇÃO DE FÔRMAS). AF_01/2024</t>
  </si>
  <si>
    <t>m³</t>
  </si>
  <si>
    <t>DEMOLIÇÃO DE PISO DE CONCRETO SIMPLES, DE FORMA MANUAL, SEM REAPROVEITAMENTO. AF_09/2023</t>
  </si>
  <si>
    <t xml:space="preserve"> CORTE E DOBRA DE AÇO CA-60, DIÂMETRO DE 5,0 MM. AF_06/2022</t>
  </si>
  <si>
    <t xml:space="preserve">CORTE E DOBRA DE AÇO CA-50, DIÂMETRO DE 6,3 MM. AF_06/2022 </t>
  </si>
  <si>
    <t>CORTE E DOBRA DE AÇO CA-50, DIÂMETRO DE 8,0 MM. AF_06/2022</t>
  </si>
  <si>
    <t>CORTE E DOBRA DE AÇO CA-50, DIÂMETRO DE 10,0 MM. AF_06/2022</t>
  </si>
  <si>
    <t>CORTE E DOBRA DE AÇO CA-50, DIÂMETRO DE 12,5 MM. AF_06/2022</t>
  </si>
  <si>
    <t>ACABAMENTO</t>
  </si>
  <si>
    <t>PREPARO DE FUNDO DE VALA COM LARGURA MENOR QUE 1,5 M, COM CAMADA DE BRITA, LANÇAMENTO MANUAL. AF_08/2020</t>
  </si>
  <si>
    <t>Kg</t>
  </si>
  <si>
    <t xml:space="preserve"> LASTRO DE CONCRETO MAGRO, APLICADO EM BLOCOS DE COROAMENTO OU SAPATAS, ESPESSURA DE 5 CM. AF_01/2024</t>
  </si>
  <si>
    <t xml:space="preserve"> 06.05.25</t>
  </si>
  <si>
    <t>SUDECAP</t>
  </si>
  <si>
    <t>PORCA ZINCADA, SEXTAVADA, DIAMETRO 5/8"</t>
  </si>
  <si>
    <t>INFRAESTRUTURA</t>
  </si>
  <si>
    <t>REFORÇO METÁLICO</t>
  </si>
  <si>
    <t xml:space="preserve"> REATERRO MANUAL DE VALAS, COM PLACA VIBRATÓRIA. AF_08/2023 </t>
  </si>
  <si>
    <t>FCK &gt;= 25 MPA, BRITA CALCÁRIA, PREPARADO EM OBRA E LANÇADO EM ESTRUTURA (CONCRETO CONVENCIONAL B1,B2 LANÇADO EM ESTRUTURA) - Piso</t>
  </si>
  <si>
    <t>DEMOLIÇÃO DE ALVENARIA DE TIJOLO MACIÇO, DE FORMA MANUAL, SEM REAPROVEITAMENTO. AF_09/2023</t>
  </si>
  <si>
    <t>3.1</t>
  </si>
  <si>
    <t>02.09.01</t>
  </si>
  <si>
    <t>14.05.05</t>
  </si>
  <si>
    <t>CHAPISCO COM ARGAMASSA 1:3 CIM./AREIA, A COLHER</t>
  </si>
  <si>
    <t>14.05.34</t>
  </si>
  <si>
    <t>REBOCO COM ARGAMASSA 1:4</t>
  </si>
  <si>
    <t>ACABAMENTOS PARA FORRO (MOLDURA EM DRYWALL, COM LARGURA DE 15 CM). AF_08/2023_PS</t>
  </si>
  <si>
    <t>RECUPERAÇÃO DE TRINCAS</t>
  </si>
  <si>
    <t>DE REBOCO (DEMOLIÇÃO COM AFASTAMENTO)</t>
  </si>
  <si>
    <t>REVESTIMENTOS</t>
  </si>
  <si>
    <t>PINTURA INTERNA</t>
  </si>
  <si>
    <t>17.04.06</t>
  </si>
  <si>
    <t>17.04.22</t>
  </si>
  <si>
    <t>PINTURA COM TINTA ACRÍLICA FOSCA EM PAREDES INTERNAS, APLICAÇÃO MANUAL, DUAS DEMÃOS REF 88489</t>
  </si>
  <si>
    <t>PINTURA EXTERNA</t>
  </si>
  <si>
    <t>17.03.05</t>
  </si>
  <si>
    <t>17.03.21</t>
  </si>
  <si>
    <t>PINTURA COM TINTA ACRÍLICA FOSCA EM PAREDES EXTERNAS, APLICAÇÃO MANUAL, DUAS DEMÃOS REF 95626</t>
  </si>
  <si>
    <t>DEMOLIÇÃO DE REVESTIMENTO CERÂMICO, DE FORMA MANUAL, SEM REAPROVEITAMENTO. AF_09/2023</t>
  </si>
  <si>
    <t>Largura x comprimenro</t>
  </si>
  <si>
    <t>Considerado 1,5m de perfuração a partir do eixo dos pilares
1,5x1,5x2</t>
  </si>
  <si>
    <t>Consideradas medidas de proejto
1,35 x 2,20 x 0,13</t>
  </si>
  <si>
    <t>Largura x comprimento x altura</t>
  </si>
  <si>
    <t>Largura x comprimento x algura x quantidade</t>
  </si>
  <si>
    <t>Comprimento x altura x largura</t>
  </si>
  <si>
    <t>Comprimento x quantidade</t>
  </si>
  <si>
    <t>3 x 20</t>
  </si>
  <si>
    <t>Proj. Estrutural</t>
  </si>
  <si>
    <t>Viga: 10Kg</t>
  </si>
  <si>
    <t>Bloco: 6 Kg
Pilar Fund.: 21 Kg
Pilar da viga: 14Kg</t>
  </si>
  <si>
    <t>Viga: 17Kg</t>
  </si>
  <si>
    <t>Bloco: 149</t>
  </si>
  <si>
    <t>Bloco: 68Kg
Pilar Fund: 47Kg
Pilar Viga: 69Kg
Viga Fund: 86Kg</t>
  </si>
  <si>
    <t>1,4 x 0,5 x 0,05 x 10</t>
  </si>
  <si>
    <t>1,5x1,5x1 x 10
1,4x0,5x0,4 x 10</t>
  </si>
  <si>
    <t>1,4 x 0,5 x 10</t>
  </si>
  <si>
    <t>FCK &gt;= 25 MPA, BRITA CALCÁRIA, PREPARADO EM OBRA E LANÇADO EM ESTRUTURA (CONCRETO CONVENCIONAL B1,B2 LANÇADO EM ESTRUTURA) - Blocos, Pilares e vigas de fundação</t>
  </si>
  <si>
    <t>Blocos: 1,4x0,5x0,3
Pilar Fund: 0,3x0,3x0,5
Viga (VR - 1, 2, 3, 5, 7) : 0,5x0,25x0,67
Viga: (VR - 6, 4, 2): 0,5x0,25x0,73
Viga (VR - 9, 7): 0,25x0,5x0,83
Pilar da Viga: 0,25x0,25x0,5</t>
  </si>
  <si>
    <t>Volume de concreto dos elementro estruturais</t>
  </si>
  <si>
    <t>Volume de terra - volume dos elementos de concreto x 10
Volume de terra: 1,5x1,5x1
Volume de concreto:
Pilar Fund: 0,3x0,3x0,5
Viga (VR - 1, 2, 3, 5, 7) : 0,5x0,25x0,67
Viga: (VR - 6, 4, 2): 0,5x0,25x0,73
Viga (VR - 9, 7): 0,25x0,5x0,83
Pilar da Viga: 0,25x0,25x0,5</t>
  </si>
  <si>
    <t>Concrreto lateral: 1,5 x 1,5 x 0,1 x 8
Concreto Frontal com degrau: 1,5 x 1,5 x 0,25 x 2</t>
  </si>
  <si>
    <t>comprimento x largura</t>
  </si>
  <si>
    <t>FORRO</t>
  </si>
  <si>
    <t>largura x comprimento</t>
  </si>
  <si>
    <t>1,5 x 1,5 x 2</t>
  </si>
  <si>
    <t>PARAFUSO M16 EM ACO GALVANIZADO, COMPRIMENTO = 500 MM, DIAMETRO = 16 MM,
 ROSCA MAQUINA, COM CABECA SEXTAVADA E PORCA</t>
  </si>
  <si>
    <t>UN</t>
  </si>
  <si>
    <t>PERFIL "I" OU "W" EM ACO LAMINADO, QUAISQUER DIMENSOES</t>
  </si>
  <si>
    <t>KG</t>
  </si>
  <si>
    <t>PARAFUSO M16 EM ACO GALVANIZADO, COMPRIMENTO = 450 MM, DIAMETRO = 16 MM,
 ROSCA MAQUINA, CABECA QUADRADA</t>
  </si>
  <si>
    <t>Área do imóvel</t>
  </si>
  <si>
    <t>Considerados a partir da Varanda até o muro dos fundos, e espaço interno dos muros da lateral
16,25 x 14,7</t>
  </si>
  <si>
    <t>ARRUELA LISA, REDONDA, DE LATAO POLIDO, DIAMETRO NOMINAL 5/8", DIAMETRO EXTERNO
 = 34 MM, DIAMETRO DO FURO = 17 MM, ESPESSURA = *2,5* MM</t>
  </si>
  <si>
    <t>ED-49664</t>
  </si>
  <si>
    <t>SETOP</t>
  </si>
  <si>
    <t>ED-20754</t>
  </si>
  <si>
    <t>TELA SOLDADA PARA LIGAÇÃO E PREVENÇÃO DE TRINCA EM ALVENARIA/ESTRUTURA, INCLUSIVE PINOS DE FIXAÇÃO, EXCLUSIVE REBOCO</t>
  </si>
  <si>
    <t>SOLDA DE TOPO EM CHAPA/PERFIL/TUBO DE AÇO CHANFRADO, ESPESSURA=1/4'' AF_06/2018</t>
  </si>
  <si>
    <t>FORNECIMENTO DE ESTRUTURA METÁLICA EM PERFIL LAMINADO, INCLUSIVE FABRICAÇÃO, TRANSPORTE, MONTAGEM E APLICAÇÃO DE FUNDO PREPARADOR ANTICORROSIVO EM SUPERFÍCIE METÁLICA, UMA (1) DEMÃO - Chapas</t>
  </si>
  <si>
    <t>Projeto Estrutural</t>
  </si>
  <si>
    <t>Elementos de ligação: 2,83+6,83+11,33+24,41
Elementos de apoio parede (det 1): 3,67
Elementos concetores (det 2): 3,67</t>
  </si>
  <si>
    <t>40 + 9 (conectores)</t>
  </si>
  <si>
    <t>Elementos de Ligação: 160
Conectoes: 18</t>
  </si>
  <si>
    <t>Elementos de Ligação: 320
Conectores: 36</t>
  </si>
  <si>
    <t>96 + 24
Placa de apoio: 40
Parafuso de apoio parede: 108
Parafuso dos conectores:  18 + 54</t>
  </si>
  <si>
    <t>Perfis verticais W150x13: (10 x 3,34) x 13 
Perfis horizontais W250x32.7:  (2 x 6,31 + 2 x 6,06 + 2 x 2,81 + 2 x 7,78 + 2 x 6,65) x 32,7
Perfis horizontais W150x13: (6,31 + 6,06 + 2,81 + 7,78 + 6,65) x 13</t>
  </si>
  <si>
    <t>Hall: 2,4+3,6 + 3,6
Banheiro: 2,4+1,7+2,4
Quarto 1: 2,78
Sala Velório: 5,8 + 4,7
Sala Velório 2: 4,7</t>
  </si>
  <si>
    <t>Metro linear das molduras danificadas (fotos)</t>
  </si>
  <si>
    <t>comprimento x altura (parede)</t>
  </si>
  <si>
    <t>Data-Base: SINAPI/AGO 2024 -  SUDECAP/ABR 2024 - SETOP/ABR 2024</t>
  </si>
  <si>
    <t>2.1</t>
  </si>
  <si>
    <t>3.2</t>
  </si>
  <si>
    <t>2.2</t>
  </si>
  <si>
    <t>2.3</t>
  </si>
  <si>
    <t>2.4</t>
  </si>
  <si>
    <t>2.5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</si>
  <si>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</si>
  <si>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</si>
  <si>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</si>
  <si>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</si>
  <si>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</si>
  <si>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</si>
  <si>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</si>
  <si>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</si>
  <si>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</si>
  <si>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</si>
  <si>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</si>
  <si>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</si>
  <si>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</si>
  <si>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</si>
  <si>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</si>
  <si>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</si>
  <si>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</si>
  <si>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5.1.2</t>
  </si>
  <si>
    <t>5.1.3</t>
  </si>
  <si>
    <t>5.1.4</t>
  </si>
  <si>
    <t>5.3</t>
  </si>
  <si>
    <t>5.5</t>
  </si>
  <si>
    <t>5.5.1</t>
  </si>
  <si>
    <t>5.5.2</t>
  </si>
  <si>
    <t>5.5.3</t>
  </si>
  <si>
    <t>5.4.1</t>
  </si>
  <si>
    <t>5.4</t>
  </si>
  <si>
    <t>5.3.1</t>
  </si>
  <si>
    <t>5.2.1</t>
  </si>
  <si>
    <t>5.2</t>
  </si>
  <si>
    <t>PAREDE LATERAL</t>
  </si>
  <si>
    <t>ED-48232</t>
  </si>
  <si>
    <t>ALVENARIA DE VEDAÇÃO COM TIJOLO CERÂMICO FURADO, ESP. 14CM, PARA REVESTIMENTO, INCLUSIVE ARGAMASSA PARA ASSENTAMENTO</t>
  </si>
  <si>
    <t>Parede Lateral esquerda: 1,35x2,2</t>
  </si>
  <si>
    <t xml:space="preserve">Parede Lateral esquerda (2 lados): 1,35x2,2x2 </t>
  </si>
  <si>
    <t>Parede Lateral esquerda (2 lados): 1,35x2,2 x 2 + 0,15x1,35</t>
  </si>
  <si>
    <t>17.04.03</t>
  </si>
  <si>
    <t>5.6</t>
  </si>
  <si>
    <t>5.2.2</t>
  </si>
  <si>
    <t>5.2.3</t>
  </si>
  <si>
    <t>5.2.4</t>
  </si>
  <si>
    <t>17.04.21</t>
  </si>
  <si>
    <t xml:space="preserve"> PINTURA COM TINTA ACRÍLICA FOSCA EM TETOS DE ÁREAS INTERNAS, APLICAÇÃO MANUAL, DUAS DEMÃOS REF 88488</t>
  </si>
  <si>
    <t>PINTURA METÁLICA</t>
  </si>
  <si>
    <t xml:space="preserve"> 17.08.01</t>
  </si>
  <si>
    <t>PREPARO DA SUPERFÍCIE METÁLICA PARA PINTURA - LIXAMENTO MANUAL REF 100717</t>
  </si>
  <si>
    <t>17.08.11</t>
  </si>
  <si>
    <t>APLICAÇÃO MANUAL DE FUNDO (TIPO ZARCÃO) EM SUPERFÍCIES METÁLICAS (POR DEMÃO) REF 100722</t>
  </si>
  <si>
    <t>17.08.21</t>
  </si>
  <si>
    <t xml:space="preserve"> PINTURA COM ESMALTE SINTÉTICO FOSCO 2 EM 1 (FUNDO E ACABAMENTO) EM SUPERFÍCIE METÁLICA, APLICAÇÃO MANUAL, (POR DEMÃO) REF 100726</t>
  </si>
  <si>
    <t>Chapas de ligação: 1,41+3,47+5,85+8,33+10,1+54,51+29,89
Chapa de apoio do pilar: 51,2Kg
Chapa de apoio parede (det 1): 11,7+28,6
Chapas concetores (det 2): 5,85 + 28,6</t>
  </si>
  <si>
    <t>Elementos de Ligação: (39682+4320+26791+1428+3499)/1000
Conectores: (14040+440+3400+4524)/1000
Placas de apoio: (14040+3400+4524)/1000</t>
  </si>
  <si>
    <t>DEMOLIÇÃO</t>
  </si>
  <si>
    <t>Unx Mês</t>
  </si>
  <si>
    <t>5.5.4</t>
  </si>
  <si>
    <t>5.5.5</t>
  </si>
  <si>
    <t>5.6.2</t>
  </si>
  <si>
    <t>5.6.3</t>
  </si>
  <si>
    <t>5.7.1</t>
  </si>
  <si>
    <t>5.7.2</t>
  </si>
  <si>
    <t>5.7.3</t>
  </si>
  <si>
    <t>5.7</t>
  </si>
  <si>
    <t>02.11.02</t>
  </si>
  <si>
    <t>PASSEIO OU LAJE DE CONCRETO C/ EQUIP. PNEUMATICO</t>
  </si>
  <si>
    <t>2.6</t>
  </si>
  <si>
    <t>2.7</t>
  </si>
  <si>
    <t>REVESTIMENTO CERÂMICO PARA PISO COM PLACAS TIPO ESMALTADA DE DIMENSÕES 35X35 CM APLICADA EM AMBIENTES DE ÁREA ENTRE 5 M2 E 10 M2. AF_02/2023_PE</t>
  </si>
  <si>
    <t>COMPOSIÇÃO EM SETEMBRO DE 2024</t>
  </si>
  <si>
    <r>
      <rPr>
        <b/>
        <sz val="12"/>
        <color theme="1"/>
        <rFont val="Arial"/>
        <family val="2"/>
      </rPr>
      <t>Paredes: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 xml:space="preserve">Quarto 1: </t>
    </r>
    <r>
      <rPr>
        <sz val="12"/>
        <color theme="1"/>
        <rFont val="Arial"/>
        <family val="2"/>
      </rPr>
      <t xml:space="preserve"> (2,78+4,95+2,78+4,95) x 3m - 1,5x1,4-2,1x0,8
</t>
    </r>
    <r>
      <rPr>
        <b/>
        <sz val="12"/>
        <color theme="1"/>
        <rFont val="Arial"/>
        <family val="2"/>
      </rPr>
      <t>Quarto 2:</t>
    </r>
    <r>
      <rPr>
        <sz val="12"/>
        <color theme="1"/>
        <rFont val="Arial"/>
        <family val="2"/>
      </rPr>
      <t xml:space="preserve"> (2,75+4,95+2,75+4,95) x 3m - 1,5x1,4-2,1x0,8
</t>
    </r>
    <r>
      <rPr>
        <b/>
        <sz val="12"/>
        <color theme="1"/>
        <rFont val="Arial"/>
        <family val="2"/>
      </rPr>
      <t>I.S fem e masc:</t>
    </r>
    <r>
      <rPr>
        <sz val="12"/>
        <color theme="1"/>
        <rFont val="Arial"/>
        <family val="2"/>
      </rPr>
      <t xml:space="preserve"> ((1,7+2,4+1,7+2,4) x 1,2 - 1x0,8-2,1x0,9) x 2
</t>
    </r>
    <r>
      <rPr>
        <b/>
        <sz val="12"/>
        <color theme="1"/>
        <rFont val="Arial"/>
        <family val="2"/>
      </rPr>
      <t>I.S funci.:</t>
    </r>
    <r>
      <rPr>
        <sz val="12"/>
        <color theme="1"/>
        <rFont val="Arial"/>
        <family val="2"/>
      </rPr>
      <t xml:space="preserve"> (1,8+1,88+1,8+1,88) x 1,2 - 0,8x2,1-1x0,8
</t>
    </r>
    <r>
      <rPr>
        <b/>
        <sz val="12"/>
        <color theme="1"/>
        <rFont val="Arial"/>
        <family val="2"/>
      </rPr>
      <t>Copa:</t>
    </r>
    <r>
      <rPr>
        <sz val="12"/>
        <color theme="1"/>
        <rFont val="Arial"/>
        <family val="2"/>
      </rPr>
      <t xml:space="preserve"> (1,88+1,88+3+3) x 1,2 - 0,8x2,1-0,8x1
</t>
    </r>
    <r>
      <rPr>
        <b/>
        <sz val="12"/>
        <color theme="1"/>
        <rFont val="Arial"/>
        <family val="2"/>
      </rPr>
      <t>DML</t>
    </r>
    <r>
      <rPr>
        <sz val="12"/>
        <color theme="1"/>
        <rFont val="Arial"/>
        <family val="2"/>
      </rPr>
      <t xml:space="preserve">: (1,88+1,88+2,05+2,05) x 1,2 - 0,8x2,1-0,4x1x2
</t>
    </r>
    <r>
      <rPr>
        <b/>
        <sz val="12"/>
        <color theme="1"/>
        <rFont val="Arial"/>
        <family val="2"/>
      </rPr>
      <t>Sala Velório:</t>
    </r>
    <r>
      <rPr>
        <sz val="12"/>
        <color theme="1"/>
        <rFont val="Arial"/>
        <family val="2"/>
      </rPr>
      <t xml:space="preserve"> (4,7+4,7+5,8+5,8) x 3 - 2x1,4-3x2,4-0,9x2,1
</t>
    </r>
    <r>
      <rPr>
        <b/>
        <sz val="12"/>
        <color theme="1"/>
        <rFont val="Arial"/>
        <family val="2"/>
      </rPr>
      <t>Sala Velório:</t>
    </r>
    <r>
      <rPr>
        <sz val="12"/>
        <color theme="1"/>
        <rFont val="Arial"/>
        <family val="2"/>
      </rPr>
      <t xml:space="preserve"> (4,68+4,68+5,8+5,8) x 3 - 3x2,4-0,9x2,1-0,8x2,1-1,5x1,4
</t>
    </r>
    <r>
      <rPr>
        <b/>
        <sz val="12"/>
        <color theme="1"/>
        <rFont val="Arial"/>
        <family val="2"/>
      </rPr>
      <t>Corredor:</t>
    </r>
    <r>
      <rPr>
        <sz val="12"/>
        <color theme="1"/>
        <rFont val="Arial"/>
        <family val="2"/>
      </rPr>
      <t xml:space="preserve"> (2,4+2,4+3,6+3,6) x 3 - 0,9x2,1x4-0,8x2,1x2</t>
    </r>
  </si>
  <si>
    <r>
      <rPr>
        <b/>
        <sz val="12"/>
        <color theme="1"/>
        <rFont val="Arial"/>
        <family val="2"/>
      </rPr>
      <t>Teto: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>Quarto 1:</t>
    </r>
    <r>
      <rPr>
        <sz val="12"/>
        <color theme="1"/>
        <rFont val="Arial"/>
        <family val="2"/>
      </rPr>
      <t xml:space="preserve">  2,78x4,95
</t>
    </r>
    <r>
      <rPr>
        <b/>
        <sz val="12"/>
        <color theme="1"/>
        <rFont val="Arial"/>
        <family val="2"/>
      </rPr>
      <t>Quarto 2</t>
    </r>
    <r>
      <rPr>
        <sz val="12"/>
        <color theme="1"/>
        <rFont val="Arial"/>
        <family val="2"/>
      </rPr>
      <t xml:space="preserve">: 2,75x4,95
</t>
    </r>
    <r>
      <rPr>
        <b/>
        <sz val="12"/>
        <color theme="1"/>
        <rFont val="Arial"/>
        <family val="2"/>
      </rPr>
      <t>I.S fem e masc:</t>
    </r>
    <r>
      <rPr>
        <sz val="12"/>
        <color theme="1"/>
        <rFont val="Arial"/>
        <family val="2"/>
      </rPr>
      <t xml:space="preserve"> (1,7x2,4)x2
</t>
    </r>
    <r>
      <rPr>
        <b/>
        <sz val="12"/>
        <color theme="1"/>
        <rFont val="Arial"/>
        <family val="2"/>
      </rPr>
      <t xml:space="preserve">I.S funci.: </t>
    </r>
    <r>
      <rPr>
        <sz val="12"/>
        <color theme="1"/>
        <rFont val="Arial"/>
        <family val="2"/>
      </rPr>
      <t xml:space="preserve">(1,8x1,88
</t>
    </r>
    <r>
      <rPr>
        <b/>
        <sz val="12"/>
        <color theme="1"/>
        <rFont val="Arial"/>
        <family val="2"/>
      </rPr>
      <t>Copa:</t>
    </r>
    <r>
      <rPr>
        <sz val="12"/>
        <color theme="1"/>
        <rFont val="Arial"/>
        <family val="2"/>
      </rPr>
      <t xml:space="preserve"> 1,88x3
</t>
    </r>
    <r>
      <rPr>
        <b/>
        <sz val="12"/>
        <color theme="1"/>
        <rFont val="Arial"/>
        <family val="2"/>
      </rPr>
      <t>DML:</t>
    </r>
    <r>
      <rPr>
        <sz val="12"/>
        <color theme="1"/>
        <rFont val="Arial"/>
        <family val="2"/>
      </rPr>
      <t xml:space="preserve"> 1,88x2,05
</t>
    </r>
    <r>
      <rPr>
        <b/>
        <sz val="12"/>
        <color theme="1"/>
        <rFont val="Arial"/>
        <family val="2"/>
      </rPr>
      <t>Sala Velório:</t>
    </r>
    <r>
      <rPr>
        <sz val="12"/>
        <color theme="1"/>
        <rFont val="Arial"/>
        <family val="2"/>
      </rPr>
      <t xml:space="preserve"> 4,7x5,8
</t>
    </r>
    <r>
      <rPr>
        <b/>
        <sz val="12"/>
        <color theme="1"/>
        <rFont val="Arial"/>
        <family val="2"/>
      </rPr>
      <t xml:space="preserve">Sala Velório: </t>
    </r>
    <r>
      <rPr>
        <sz val="12"/>
        <color theme="1"/>
        <rFont val="Arial"/>
        <family val="2"/>
      </rPr>
      <t xml:space="preserve">4,68x5,8
</t>
    </r>
    <r>
      <rPr>
        <b/>
        <sz val="12"/>
        <color theme="1"/>
        <rFont val="Arial"/>
        <family val="2"/>
      </rPr>
      <t>Hall</t>
    </r>
    <r>
      <rPr>
        <sz val="12"/>
        <color theme="1"/>
        <rFont val="Arial"/>
        <family val="2"/>
      </rPr>
      <t xml:space="preserve">: 2,4x3,6
</t>
    </r>
    <r>
      <rPr>
        <b/>
        <sz val="12"/>
        <color theme="1"/>
        <rFont val="Arial"/>
        <family val="2"/>
      </rPr>
      <t>Varanda:</t>
    </r>
    <r>
      <rPr>
        <sz val="12"/>
        <color theme="1"/>
        <rFont val="Arial"/>
        <family val="2"/>
      </rPr>
      <t xml:space="preserve"> 12x2,9
</t>
    </r>
    <r>
      <rPr>
        <b/>
        <sz val="12"/>
        <color theme="1"/>
        <rFont val="Arial"/>
        <family val="2"/>
      </rPr>
      <t>Varanda Lateral:</t>
    </r>
    <r>
      <rPr>
        <sz val="12"/>
        <color theme="1"/>
        <rFont val="Arial"/>
        <family val="2"/>
      </rPr>
      <t xml:space="preserve"> 2,08x3,5
</t>
    </r>
    <r>
      <rPr>
        <b/>
        <sz val="12"/>
        <color theme="1"/>
        <rFont val="Arial"/>
        <family val="2"/>
      </rPr>
      <t>Beiral:</t>
    </r>
    <r>
      <rPr>
        <sz val="12"/>
        <color theme="1"/>
        <rFont val="Arial"/>
        <family val="2"/>
      </rPr>
      <t xml:space="preserve"> (15,25+15,25+12+12) x 0,5</t>
    </r>
  </si>
  <si>
    <r>
      <rPr>
        <b/>
        <sz val="12"/>
        <color theme="1"/>
        <rFont val="Arial"/>
        <family val="2"/>
      </rPr>
      <t xml:space="preserve">Paredes Capela: </t>
    </r>
    <r>
      <rPr>
        <sz val="12"/>
        <color theme="1"/>
        <rFont val="Arial"/>
        <family val="2"/>
      </rPr>
      <t xml:space="preserve">(12+13,55+12+5,35+2,08+3,5+2,08+2,5) x 3 -(3x2,4x2+2x1,4x3+0,8x1x4+1,5x1,4+0,4x1x2+0,8x2,1x4)
</t>
    </r>
    <r>
      <rPr>
        <b/>
        <sz val="12"/>
        <color theme="1"/>
        <rFont val="Arial"/>
        <family val="2"/>
      </rPr>
      <t>Muros:</t>
    </r>
    <r>
      <rPr>
        <sz val="12"/>
        <color theme="1"/>
        <rFont val="Arial"/>
        <family val="2"/>
      </rPr>
      <t xml:space="preserve"> (14,7+14,7+21,43+24,43+0,26+0,29+1,35) x 2,2
</t>
    </r>
    <r>
      <rPr>
        <b/>
        <sz val="12"/>
        <color theme="1"/>
        <rFont val="Arial"/>
        <family val="2"/>
      </rPr>
      <t xml:space="preserve">Platibandas: </t>
    </r>
    <r>
      <rPr>
        <sz val="12"/>
        <color theme="1"/>
        <rFont val="Arial"/>
        <family val="2"/>
      </rPr>
      <t>(14,25+12+14,25+12) x 1,1</t>
    </r>
  </si>
  <si>
    <r>
      <rPr>
        <b/>
        <sz val="12"/>
        <color theme="1"/>
        <rFont val="Arial"/>
        <family val="2"/>
      </rPr>
      <t>Área da superfíce dos perfis a serem instalados</t>
    </r>
    <r>
      <rPr>
        <sz val="12"/>
        <color theme="1"/>
        <rFont val="Arial"/>
        <family val="2"/>
      </rPr>
      <t xml:space="preserve">
Perfis W150x13: (10 x 3,34 + 6,31 + 6,06 + 2,81 + 7,78 + 6,65) x 0,148 x 2
Perfis W150x13: (10 x 3,34 + 6,31 + 6,06 + 2,81 + 7,78 + 6,65) x 0,10 x 2
Perfis W250x32.7:  (2 x 6,31 + 2 x 6,06 + 2 x 2,81 + 2 x 7,78 + 2 x 6,65) x 0,258 x 2
Perfis W250x32.7:  (2 x 6,31 + 2 x 6,06 + 2 x 2,81 + 2 x 7,78 + 2 x 6,65) x 0,146 x 2</t>
    </r>
  </si>
  <si>
    <t>PERGOLADO E BANCOS</t>
  </si>
  <si>
    <t>TELHADOS</t>
  </si>
  <si>
    <t>5.8</t>
  </si>
  <si>
    <t>3,3 x 5,8</t>
  </si>
  <si>
    <t>REMOÇÃO CALHAS E RUFOS, DE FORMA MANUAL, SEM REAPROVEITAMENTO. AF_09/2023</t>
  </si>
  <si>
    <t xml:space="preserve"> ED-50676</t>
  </si>
  <si>
    <t>ED-50655</t>
  </si>
  <si>
    <t>ED-50667</t>
  </si>
  <si>
    <t>CALHA EM CHAPA GALVANIZADA, ESP. 0,65MM (GSG-24), COM DESENVOLVIMENTO DE 40CM, INCLUSIVE IÇAMENTO MANUAL VERTICAL</t>
  </si>
  <si>
    <t>RUFO E CONTRARRUFO EM CHAPA GALVANIZADA, ESP. 0,65MM ( GSG-24), COM DESENVOLVIMENTO DE 20CM, INCLUSIVE IÇAMENTO MANUAL VERTICAL</t>
  </si>
  <si>
    <t>CHAPIM EM CHAPA GALVANIZADA, COM PINGADEIRA, ESP. 0, 65MM (GSG-24), COM DESENVOLVIMENTO DE 35CM, INCLUSIVE IÇAMENTO MANUAL VERTICAL</t>
  </si>
  <si>
    <t>15,15+15,15</t>
  </si>
  <si>
    <t>15,15+15,15+13,2+13,2</t>
  </si>
  <si>
    <t xml:space="preserve"> ED-48532</t>
  </si>
  <si>
    <t>5.8.1</t>
  </si>
  <si>
    <t>5.8.2</t>
  </si>
  <si>
    <t>5.8.3</t>
  </si>
  <si>
    <t>5.8.4</t>
  </si>
  <si>
    <t>2 bancos de 4m, e uma peça de 3, 2 e 1,5m
Considerando largura de 36cm para o assento, e de 25cm para o encosto temos:
4 x 0,36+4 x 0,25+0,45 x 0,7
3 x 0,36+4 x 0,25+0,45 x 0,7
2 x 0,36+4 x 0,25+0,45 x 0,7
1,5 x 0,36+4 x 0,25+0,45 x 0,7</t>
  </si>
  <si>
    <t>LOCACAO DE ESCORA METALICA TELESCOPICA, COM ALTURA REGULAVEL DE *1,80* A *3,20* M, COM CAPACIDADE DE CARGA DE NO MINIMO 1000 KGF (10 KN), INCLUSO TRIPE E FORCADO</t>
  </si>
  <si>
    <t>7.1</t>
  </si>
  <si>
    <r>
      <rPr>
        <b/>
        <sz val="12"/>
        <color theme="1"/>
        <rFont val="Arial"/>
        <family val="2"/>
      </rPr>
      <t>Nos locais onde foi feita a recuperação das trincas
Parede da facahada - ext e int (acima da porta):</t>
    </r>
    <r>
      <rPr>
        <sz val="12"/>
        <color theme="1"/>
        <rFont val="Arial"/>
        <family val="2"/>
      </rPr>
      <t xml:space="preserve"> 3,9 x 0,9x 2
</t>
    </r>
    <r>
      <rPr>
        <b/>
        <sz val="12"/>
        <color theme="1"/>
        <rFont val="Arial"/>
        <family val="2"/>
      </rPr>
      <t>Parede Varanda- ext e int:</t>
    </r>
    <r>
      <rPr>
        <sz val="12"/>
        <color theme="1"/>
        <rFont val="Arial"/>
        <family val="2"/>
      </rPr>
      <t xml:space="preserve"> (0,4 + 1) x 0,9 x 2
</t>
    </r>
    <r>
      <rPr>
        <b/>
        <sz val="12"/>
        <color theme="1"/>
        <rFont val="Arial"/>
        <family val="2"/>
      </rPr>
      <t>Parede entre as salas Velório (2 lados):</t>
    </r>
    <r>
      <rPr>
        <sz val="12"/>
        <color theme="1"/>
        <rFont val="Arial"/>
        <family val="2"/>
      </rPr>
      <t xml:space="preserve"> 3 x 0,9 x 2
</t>
    </r>
    <r>
      <rPr>
        <b/>
        <sz val="12"/>
        <color theme="1"/>
        <rFont val="Arial"/>
        <family val="2"/>
      </rPr>
      <t>Parade Entre sala Velório e quarto (2 lados)</t>
    </r>
    <r>
      <rPr>
        <sz val="12"/>
        <color theme="1"/>
        <rFont val="Arial"/>
        <family val="2"/>
      </rPr>
      <t xml:space="preserve">: 4 x 0,9 x 2
</t>
    </r>
    <r>
      <rPr>
        <b/>
        <sz val="12"/>
        <color theme="1"/>
        <rFont val="Arial"/>
        <family val="2"/>
      </rPr>
      <t>Entre Sala velório e corredor Portal (2 lados):</t>
    </r>
    <r>
      <rPr>
        <sz val="12"/>
        <color theme="1"/>
        <rFont val="Arial"/>
        <family val="2"/>
      </rPr>
      <t xml:space="preserve"> 1 x 0,9 x 2
</t>
    </r>
    <r>
      <rPr>
        <b/>
        <sz val="12"/>
        <color theme="1"/>
        <rFont val="Arial"/>
        <family val="2"/>
      </rPr>
      <t>Janela quarto 1 - int e ext:</t>
    </r>
    <r>
      <rPr>
        <sz val="12"/>
        <color theme="1"/>
        <rFont val="Arial"/>
        <family val="2"/>
      </rPr>
      <t xml:space="preserve"> (0,9 + 0,6) x 0,9 x 2 
</t>
    </r>
    <r>
      <rPr>
        <b/>
        <sz val="12"/>
        <color theme="1"/>
        <rFont val="Arial"/>
        <family val="2"/>
      </rPr>
      <t>Janela quarto 2 - int e ext:</t>
    </r>
    <r>
      <rPr>
        <sz val="12"/>
        <color theme="1"/>
        <rFont val="Arial"/>
        <family val="2"/>
      </rPr>
      <t xml:space="preserve"> (0,9 + 0,7) x 0,9 x 2
</t>
    </r>
    <r>
      <rPr>
        <b/>
        <sz val="12"/>
        <color theme="1"/>
        <rFont val="Arial"/>
        <family val="2"/>
      </rPr>
      <t>Muro (2 lados):</t>
    </r>
    <r>
      <rPr>
        <sz val="12"/>
        <color theme="1"/>
        <rFont val="Arial"/>
        <family val="2"/>
      </rPr>
      <t xml:space="preserve"> 2,2 x 0,9 x 2</t>
    </r>
  </si>
  <si>
    <r>
      <rPr>
        <b/>
        <sz val="12"/>
        <color theme="1"/>
        <rFont val="Arial"/>
        <family val="2"/>
      </rPr>
      <t>Parede da facahada - ext e int (acima da porta):</t>
    </r>
    <r>
      <rPr>
        <sz val="12"/>
        <color theme="1"/>
        <rFont val="Arial"/>
        <family val="2"/>
      </rPr>
      <t xml:space="preserve"> 3,9 x 0,9x 2
</t>
    </r>
    <r>
      <rPr>
        <b/>
        <sz val="12"/>
        <color theme="1"/>
        <rFont val="Arial"/>
        <family val="2"/>
      </rPr>
      <t>Parede Varanda lateral - ext e int:</t>
    </r>
    <r>
      <rPr>
        <sz val="12"/>
        <color theme="1"/>
        <rFont val="Arial"/>
        <family val="2"/>
      </rPr>
      <t xml:space="preserve"> (0,4 + 1) x 0,9 x 2
</t>
    </r>
    <r>
      <rPr>
        <b/>
        <sz val="12"/>
        <color theme="1"/>
        <rFont val="Arial"/>
        <family val="2"/>
      </rPr>
      <t>Parede entre as salas Velório (2 lados):</t>
    </r>
    <r>
      <rPr>
        <sz val="12"/>
        <color theme="1"/>
        <rFont val="Arial"/>
        <family val="2"/>
      </rPr>
      <t xml:space="preserve"> 3 x 0,9 x 2
</t>
    </r>
    <r>
      <rPr>
        <b/>
        <sz val="12"/>
        <color theme="1"/>
        <rFont val="Arial"/>
        <family val="2"/>
      </rPr>
      <t>Parade Entre sala Velório 1 e quarto 1 (2 lados)</t>
    </r>
    <r>
      <rPr>
        <sz val="12"/>
        <color theme="1"/>
        <rFont val="Arial"/>
        <family val="2"/>
      </rPr>
      <t xml:space="preserve">: 4 x 0,9 x 2
</t>
    </r>
    <r>
      <rPr>
        <b/>
        <sz val="12"/>
        <color theme="1"/>
        <rFont val="Arial"/>
        <family val="2"/>
      </rPr>
      <t>Entre Sala velório 1 e corredor Portal (2 lados):</t>
    </r>
    <r>
      <rPr>
        <sz val="12"/>
        <color theme="1"/>
        <rFont val="Arial"/>
        <family val="2"/>
      </rPr>
      <t xml:space="preserve"> 1 x 0,9 x 2
</t>
    </r>
    <r>
      <rPr>
        <b/>
        <sz val="12"/>
        <color theme="1"/>
        <rFont val="Arial"/>
        <family val="2"/>
      </rPr>
      <t>Janela quarto 1 - int e ext:</t>
    </r>
    <r>
      <rPr>
        <sz val="12"/>
        <color theme="1"/>
        <rFont val="Arial"/>
        <family val="2"/>
      </rPr>
      <t xml:space="preserve"> (0,9 + 0,6) x 0,9 x 2 
</t>
    </r>
    <r>
      <rPr>
        <b/>
        <sz val="12"/>
        <color theme="1"/>
        <rFont val="Arial"/>
        <family val="2"/>
      </rPr>
      <t>Banco quarto 1</t>
    </r>
    <r>
      <rPr>
        <sz val="12"/>
        <color theme="1"/>
        <rFont val="Arial"/>
        <family val="2"/>
      </rPr>
      <t xml:space="preserve">: (2+0,8+2) x 0,9 x 2
</t>
    </r>
    <r>
      <rPr>
        <b/>
        <sz val="12"/>
        <color theme="1"/>
        <rFont val="Arial"/>
        <family val="2"/>
      </rPr>
      <t>Janela quarto 2 - int e ext:</t>
    </r>
    <r>
      <rPr>
        <sz val="12"/>
        <color theme="1"/>
        <rFont val="Arial"/>
        <family val="2"/>
      </rPr>
      <t xml:space="preserve"> (0,9 + 0,7) x 0,9 x 2
</t>
    </r>
    <r>
      <rPr>
        <b/>
        <sz val="12"/>
        <color theme="1"/>
        <rFont val="Arial"/>
        <family val="2"/>
      </rPr>
      <t xml:space="preserve">Banco quarto 2: </t>
    </r>
    <r>
      <rPr>
        <sz val="12"/>
        <color theme="1"/>
        <rFont val="Arial"/>
        <family val="2"/>
      </rPr>
      <t>(2+0,8+2+1,15) x 0,9 x 2</t>
    </r>
    <r>
      <rPr>
        <b/>
        <sz val="12"/>
        <color theme="1"/>
        <rFont val="Arial"/>
        <family val="2"/>
      </rPr>
      <t xml:space="preserve">
Muro (2 lados):</t>
    </r>
    <r>
      <rPr>
        <sz val="12"/>
        <color theme="1"/>
        <rFont val="Arial"/>
        <family val="2"/>
      </rPr>
      <t xml:space="preserve"> 2,2 x 0,9 x 2
Parede lateral esquerda: 11,15 x 0,9</t>
    </r>
  </si>
  <si>
    <r>
      <rPr>
        <b/>
        <sz val="12"/>
        <color theme="1"/>
        <rFont val="Arial"/>
        <family val="2"/>
      </rPr>
      <t>Parede da facahada - ext e int (acima da porta):</t>
    </r>
    <r>
      <rPr>
        <sz val="12"/>
        <color theme="1"/>
        <rFont val="Arial"/>
        <family val="2"/>
      </rPr>
      <t xml:space="preserve"> 3,9 x 0,2x 2
</t>
    </r>
    <r>
      <rPr>
        <b/>
        <sz val="12"/>
        <color theme="1"/>
        <rFont val="Arial"/>
        <family val="2"/>
      </rPr>
      <t>Parede Varanda lateral - ext e int:</t>
    </r>
    <r>
      <rPr>
        <sz val="12"/>
        <color theme="1"/>
        <rFont val="Arial"/>
        <family val="2"/>
      </rPr>
      <t xml:space="preserve"> (0,4 + 1) x 0,2 x 2
</t>
    </r>
    <r>
      <rPr>
        <b/>
        <sz val="12"/>
        <color theme="1"/>
        <rFont val="Arial"/>
        <family val="2"/>
      </rPr>
      <t>Parede entre as salas Velório (2 lados):</t>
    </r>
    <r>
      <rPr>
        <sz val="12"/>
        <color theme="1"/>
        <rFont val="Arial"/>
        <family val="2"/>
      </rPr>
      <t xml:space="preserve"> 3 x 0,2 x 2
</t>
    </r>
    <r>
      <rPr>
        <b/>
        <sz val="12"/>
        <color theme="1"/>
        <rFont val="Arial"/>
        <family val="2"/>
      </rPr>
      <t>Parade Entre sala Velório 1 e quarto 1 (2 lados)</t>
    </r>
    <r>
      <rPr>
        <sz val="12"/>
        <color theme="1"/>
        <rFont val="Arial"/>
        <family val="2"/>
      </rPr>
      <t xml:space="preserve">: 4 x 0,2 x 2
</t>
    </r>
    <r>
      <rPr>
        <b/>
        <sz val="12"/>
        <color theme="1"/>
        <rFont val="Arial"/>
        <family val="2"/>
      </rPr>
      <t>Entre Sala velório 1 e corredor Portal (2 lados):</t>
    </r>
    <r>
      <rPr>
        <sz val="12"/>
        <color theme="1"/>
        <rFont val="Arial"/>
        <family val="2"/>
      </rPr>
      <t xml:space="preserve"> 1 x 0,2 x 2
</t>
    </r>
    <r>
      <rPr>
        <b/>
        <sz val="12"/>
        <color theme="1"/>
        <rFont val="Arial"/>
        <family val="2"/>
      </rPr>
      <t>Janela quarto 1 - int e ext:</t>
    </r>
    <r>
      <rPr>
        <sz val="12"/>
        <color theme="1"/>
        <rFont val="Arial"/>
        <family val="2"/>
      </rPr>
      <t xml:space="preserve"> (0,9 + 0,6) x 0,2 x 2 
</t>
    </r>
    <r>
      <rPr>
        <b/>
        <sz val="12"/>
        <color theme="1"/>
        <rFont val="Arial"/>
        <family val="2"/>
      </rPr>
      <t>Banco quarto 1</t>
    </r>
    <r>
      <rPr>
        <sz val="12"/>
        <color theme="1"/>
        <rFont val="Arial"/>
        <family val="2"/>
      </rPr>
      <t xml:space="preserve">: (2+0,8+2) x 0,2 x 2
</t>
    </r>
    <r>
      <rPr>
        <b/>
        <sz val="12"/>
        <color theme="1"/>
        <rFont val="Arial"/>
        <family val="2"/>
      </rPr>
      <t>Janela quarto 2 - int e ext:</t>
    </r>
    <r>
      <rPr>
        <sz val="12"/>
        <color theme="1"/>
        <rFont val="Arial"/>
        <family val="2"/>
      </rPr>
      <t xml:space="preserve"> (0,9 + 0,7) x 0,2 x 2
</t>
    </r>
    <r>
      <rPr>
        <b/>
        <sz val="12"/>
        <color theme="1"/>
        <rFont val="Arial"/>
        <family val="2"/>
      </rPr>
      <t xml:space="preserve">Banco quarto 2: </t>
    </r>
    <r>
      <rPr>
        <sz val="12"/>
        <color theme="1"/>
        <rFont val="Arial"/>
        <family val="2"/>
      </rPr>
      <t>(2+0,8+2+1,15) x 0,2 x 2</t>
    </r>
    <r>
      <rPr>
        <b/>
        <sz val="12"/>
        <color theme="1"/>
        <rFont val="Arial"/>
        <family val="2"/>
      </rPr>
      <t xml:space="preserve">
Muro (2 lados):</t>
    </r>
    <r>
      <rPr>
        <sz val="12"/>
        <color theme="1"/>
        <rFont val="Arial"/>
        <family val="2"/>
      </rPr>
      <t xml:space="preserve"> 2,2 x 0,2 x 2
Parede lateral esquerda: 11,15 x 0,2</t>
    </r>
  </si>
  <si>
    <r>
      <rPr>
        <b/>
        <sz val="12"/>
        <color theme="1"/>
        <rFont val="Arial"/>
        <family val="2"/>
      </rPr>
      <t>Parede da facahada - ext (acima da porta):</t>
    </r>
    <r>
      <rPr>
        <sz val="12"/>
        <color theme="1"/>
        <rFont val="Arial"/>
        <family val="2"/>
      </rPr>
      <t xml:space="preserve"> 3,9 x 0,9
</t>
    </r>
    <r>
      <rPr>
        <b/>
        <sz val="12"/>
        <color theme="1"/>
        <rFont val="Arial"/>
        <family val="2"/>
      </rPr>
      <t>Parede Varanda lateral - ext :</t>
    </r>
    <r>
      <rPr>
        <sz val="12"/>
        <color theme="1"/>
        <rFont val="Arial"/>
        <family val="2"/>
      </rPr>
      <t xml:space="preserve"> (0,4 + 1) x 0,9
</t>
    </r>
    <r>
      <rPr>
        <b/>
        <sz val="12"/>
        <color theme="1"/>
        <rFont val="Arial"/>
        <family val="2"/>
      </rPr>
      <t>Janela quarto 1 - ext:</t>
    </r>
    <r>
      <rPr>
        <sz val="12"/>
        <color theme="1"/>
        <rFont val="Arial"/>
        <family val="2"/>
      </rPr>
      <t xml:space="preserve"> (0,9 + 0,6) x 0,9
</t>
    </r>
    <r>
      <rPr>
        <b/>
        <sz val="12"/>
        <color theme="1"/>
        <rFont val="Arial"/>
        <family val="2"/>
      </rPr>
      <t>Janela quarto 2 - ext:</t>
    </r>
    <r>
      <rPr>
        <sz val="12"/>
        <color theme="1"/>
        <rFont val="Arial"/>
        <family val="2"/>
      </rPr>
      <t xml:space="preserve"> (0,9 + 0,7) x 0,9</t>
    </r>
    <r>
      <rPr>
        <b/>
        <sz val="12"/>
        <color theme="1"/>
        <rFont val="Arial"/>
        <family val="2"/>
      </rPr>
      <t xml:space="preserve">
Muro (2 lados):</t>
    </r>
    <r>
      <rPr>
        <sz val="12"/>
        <color theme="1"/>
        <rFont val="Arial"/>
        <family val="2"/>
      </rPr>
      <t xml:space="preserve"> 2,2 x 0,9 x 2
</t>
    </r>
    <r>
      <rPr>
        <b/>
        <sz val="12"/>
        <color theme="1"/>
        <rFont val="Arial"/>
        <family val="2"/>
      </rPr>
      <t>Parede lateral esquerda</t>
    </r>
    <r>
      <rPr>
        <sz val="12"/>
        <color theme="1"/>
        <rFont val="Arial"/>
        <family val="2"/>
      </rPr>
      <t>: 11,15 x 0,9</t>
    </r>
  </si>
  <si>
    <r>
      <rPr>
        <b/>
        <sz val="12"/>
        <color theme="1"/>
        <rFont val="Arial"/>
        <family val="2"/>
      </rPr>
      <t>Nos locais onde foi feita a recuperação das trincas e onde a tinta está descascada
Trincas: 
Parede da facahada - int (acima da porta):</t>
    </r>
    <r>
      <rPr>
        <sz val="12"/>
        <color theme="1"/>
        <rFont val="Arial"/>
        <family val="2"/>
      </rPr>
      <t xml:space="preserve"> 3,9 x 0,9
</t>
    </r>
    <r>
      <rPr>
        <b/>
        <sz val="12"/>
        <color theme="1"/>
        <rFont val="Arial"/>
        <family val="2"/>
      </rPr>
      <t>Parede Varanda- int:</t>
    </r>
    <r>
      <rPr>
        <sz val="12"/>
        <color theme="1"/>
        <rFont val="Arial"/>
        <family val="2"/>
      </rPr>
      <t xml:space="preserve"> (0,4 + 1) x 0,9
</t>
    </r>
    <r>
      <rPr>
        <b/>
        <sz val="12"/>
        <color theme="1"/>
        <rFont val="Arial"/>
        <family val="2"/>
      </rPr>
      <t>Parede entre as salas Velório (2 lados):</t>
    </r>
    <r>
      <rPr>
        <sz val="12"/>
        <color theme="1"/>
        <rFont val="Arial"/>
        <family val="2"/>
      </rPr>
      <t xml:space="preserve"> 3 x 0,9 x 2
</t>
    </r>
    <r>
      <rPr>
        <b/>
        <sz val="12"/>
        <color theme="1"/>
        <rFont val="Arial"/>
        <family val="2"/>
      </rPr>
      <t>Parade Entre sala Velório e quarto (2 lados)</t>
    </r>
    <r>
      <rPr>
        <sz val="12"/>
        <color theme="1"/>
        <rFont val="Arial"/>
        <family val="2"/>
      </rPr>
      <t xml:space="preserve">: 4 x 0,9 x 2
</t>
    </r>
    <r>
      <rPr>
        <b/>
        <sz val="12"/>
        <color theme="1"/>
        <rFont val="Arial"/>
        <family val="2"/>
      </rPr>
      <t>Entre Sala velório e corredor Portal (2 lados):</t>
    </r>
    <r>
      <rPr>
        <sz val="12"/>
        <color theme="1"/>
        <rFont val="Arial"/>
        <family val="2"/>
      </rPr>
      <t xml:space="preserve"> 1 x 0,9 x 2
</t>
    </r>
    <r>
      <rPr>
        <b/>
        <sz val="12"/>
        <color theme="1"/>
        <rFont val="Arial"/>
        <family val="2"/>
      </rPr>
      <t>Janela quarto 1 - int:</t>
    </r>
    <r>
      <rPr>
        <sz val="12"/>
        <color theme="1"/>
        <rFont val="Arial"/>
        <family val="2"/>
      </rPr>
      <t xml:space="preserve"> (0,9 + 0,6) x 0,9
</t>
    </r>
    <r>
      <rPr>
        <b/>
        <sz val="12"/>
        <color theme="1"/>
        <rFont val="Arial"/>
        <family val="2"/>
      </rPr>
      <t>Janela quarto 2 - int:</t>
    </r>
    <r>
      <rPr>
        <sz val="12"/>
        <color theme="1"/>
        <rFont val="Arial"/>
        <family val="2"/>
      </rPr>
      <t xml:space="preserve"> (0,9 + 0,7) x 0,9
Descascado:
Quarto 2: (2,97+2,78+1,94) x 0,2
Corredor: (0,63+2,4+0,2+0,68) x 0,2
quarto 1; (197+295+2750x 0,2
Sala Velório 1: (0,79+5,8+3,65+6+0,91) x 0,2
Sala velório 2: (0,86+6+3,63+2,47+2,43+0,81) x 0,35</t>
    </r>
  </si>
  <si>
    <t>APLICAÇÃO MANUAL DE FUNDO SELADOR ACRÍLICO EM PAREDES EXTERNAS REF 88415 - Trincas recuperadas</t>
  </si>
  <si>
    <t xml:space="preserve"> EMASSAMENTO COM MASSA PVA E LIXAMENTO EM PAREDES INTERNAS, UMA DEMÃO REF 88495 - Trincas recuperadas</t>
  </si>
  <si>
    <t>APLICAÇÃO MANUAL DE FUNDO SELADOR ACRÍLICO EM PAREDES INTERNAS REF 88485 - Trincas Recuperadas e tinta descascada</t>
  </si>
  <si>
    <t xml:space="preserve"> ED-50505</t>
  </si>
  <si>
    <t>ED-50506</t>
  </si>
  <si>
    <t>LIXAMENTO MANUAL EM TETO PARA REMOÇÃO DE TINTA</t>
  </si>
  <si>
    <t>LIXAMENTO MANUAL EM PAREDE PARA REMOÇÃO DE TINTA</t>
  </si>
  <si>
    <t>5.5.6</t>
  </si>
  <si>
    <r>
      <rPr>
        <b/>
        <sz val="12"/>
        <color theme="1"/>
        <rFont val="Arial"/>
        <family val="2"/>
      </rPr>
      <t>Paredes:</t>
    </r>
    <r>
      <rPr>
        <sz val="12"/>
        <color theme="1"/>
        <rFont val="Arial"/>
        <family val="2"/>
      </rPr>
      <t xml:space="preserve">
</t>
    </r>
    <r>
      <rPr>
        <b/>
        <sz val="12"/>
        <color theme="1"/>
        <rFont val="Arial"/>
        <family val="2"/>
      </rPr>
      <t xml:space="preserve">Quarto 1: </t>
    </r>
    <r>
      <rPr>
        <sz val="12"/>
        <color theme="1"/>
        <rFont val="Arial"/>
        <family val="2"/>
      </rPr>
      <t xml:space="preserve"> (2,78+4,95+2,78+4,95) x 3m - 1,5x1,4-2,1x0,8
</t>
    </r>
    <r>
      <rPr>
        <b/>
        <sz val="12"/>
        <color theme="1"/>
        <rFont val="Arial"/>
        <family val="2"/>
      </rPr>
      <t>Quarto 2:</t>
    </r>
    <r>
      <rPr>
        <sz val="12"/>
        <color theme="1"/>
        <rFont val="Arial"/>
        <family val="2"/>
      </rPr>
      <t xml:space="preserve"> (2,75+4,95+2,75+4,95) x 3m - 1,5x1,4-2,1x0,8
</t>
    </r>
    <r>
      <rPr>
        <b/>
        <sz val="12"/>
        <color theme="1"/>
        <rFont val="Arial"/>
        <family val="2"/>
      </rPr>
      <t>I.S fem e masc:</t>
    </r>
    <r>
      <rPr>
        <sz val="12"/>
        <color theme="1"/>
        <rFont val="Arial"/>
        <family val="2"/>
      </rPr>
      <t xml:space="preserve"> ((1,7+2,4+1,7+2,4) x 1,2 - 1x0,8-2,1x0,9) x 2
</t>
    </r>
    <r>
      <rPr>
        <b/>
        <sz val="12"/>
        <color theme="1"/>
        <rFont val="Arial"/>
        <family val="2"/>
      </rPr>
      <t>I.S funci.:</t>
    </r>
    <r>
      <rPr>
        <sz val="12"/>
        <color theme="1"/>
        <rFont val="Arial"/>
        <family val="2"/>
      </rPr>
      <t xml:space="preserve"> (1,8+1,88+1,8+1,88) x 1,2 - 0,8x2,1-1x0,8
</t>
    </r>
    <r>
      <rPr>
        <b/>
        <sz val="12"/>
        <color theme="1"/>
        <rFont val="Arial"/>
        <family val="2"/>
      </rPr>
      <t>Copa:</t>
    </r>
    <r>
      <rPr>
        <sz val="12"/>
        <color theme="1"/>
        <rFont val="Arial"/>
        <family val="2"/>
      </rPr>
      <t xml:space="preserve"> (1,88+1,88+3+3) x 1,2 - 0,8x2,1-0,8x1
</t>
    </r>
    <r>
      <rPr>
        <b/>
        <sz val="12"/>
        <color theme="1"/>
        <rFont val="Arial"/>
        <family val="2"/>
      </rPr>
      <t>DML</t>
    </r>
    <r>
      <rPr>
        <sz val="12"/>
        <color theme="1"/>
        <rFont val="Arial"/>
        <family val="2"/>
      </rPr>
      <t xml:space="preserve">: (1,88+1,88+2,05+2,05) x 1,2 - 0,8x2,1-0,4x1x2
</t>
    </r>
    <r>
      <rPr>
        <b/>
        <sz val="12"/>
        <color theme="1"/>
        <rFont val="Arial"/>
        <family val="2"/>
      </rPr>
      <t>Sala Velório:</t>
    </r>
    <r>
      <rPr>
        <sz val="12"/>
        <color theme="1"/>
        <rFont val="Arial"/>
        <family val="2"/>
      </rPr>
      <t xml:space="preserve"> (4,7+4,7+5,8+5,8) x 3 - 2x1,4-3x2,4-0,9x2,1
</t>
    </r>
    <r>
      <rPr>
        <b/>
        <sz val="12"/>
        <color theme="1"/>
        <rFont val="Arial"/>
        <family val="2"/>
      </rPr>
      <t>Sala Velório:</t>
    </r>
    <r>
      <rPr>
        <sz val="12"/>
        <color theme="1"/>
        <rFont val="Arial"/>
        <family val="2"/>
      </rPr>
      <t xml:space="preserve"> (4,68+4,68+5,8+5,8) x 3 - 3x2,4-0,9x2,1-0,8x2,1-1,5x1,4
</t>
    </r>
    <r>
      <rPr>
        <b/>
        <sz val="12"/>
        <color theme="1"/>
        <rFont val="Arial"/>
        <family val="2"/>
      </rPr>
      <t>Corredor:</t>
    </r>
    <r>
      <rPr>
        <sz val="12"/>
        <color theme="1"/>
        <rFont val="Arial"/>
        <family val="2"/>
      </rPr>
      <t xml:space="preserve"> (2,4+2,4+3,6+3,6) x 3 - 0,9x2,1x4-0,8x2,1x2
</t>
    </r>
    <r>
      <rPr>
        <b/>
        <sz val="12"/>
        <color theme="1"/>
        <rFont val="Arial"/>
        <family val="2"/>
      </rPr>
      <t>Paredes Capela</t>
    </r>
    <r>
      <rPr>
        <sz val="12"/>
        <color theme="1"/>
        <rFont val="Arial"/>
        <family val="2"/>
      </rPr>
      <t xml:space="preserve">: (12+13,55+12+5,35+2,08+3,5+2,08+2,5) x 3 -(3x2,4x2+2x1,4x3+0,8x1x4+1,5x1,4+0,4x1x2+0,8x2,1x4)
</t>
    </r>
    <r>
      <rPr>
        <b/>
        <sz val="12"/>
        <color theme="1"/>
        <rFont val="Arial"/>
        <family val="2"/>
      </rPr>
      <t>Muros:</t>
    </r>
    <r>
      <rPr>
        <sz val="12"/>
        <color theme="1"/>
        <rFont val="Arial"/>
        <family val="2"/>
      </rPr>
      <t xml:space="preserve"> (14,7+14,7+21,43+24,43+0,26+0,29+1,35) x 2,2
</t>
    </r>
    <r>
      <rPr>
        <b/>
        <sz val="12"/>
        <color theme="1"/>
        <rFont val="Arial"/>
        <family val="2"/>
      </rPr>
      <t>Platibandas:</t>
    </r>
    <r>
      <rPr>
        <sz val="12"/>
        <color theme="1"/>
        <rFont val="Arial"/>
        <family val="2"/>
      </rPr>
      <t xml:space="preserve"> (14,25+12+14,25+12) x 1,1</t>
    </r>
  </si>
  <si>
    <t>comprimento</t>
  </si>
  <si>
    <t>Perímetro</t>
  </si>
  <si>
    <t>comprimento do telhado (2 lados)</t>
  </si>
  <si>
    <t>Calhas: 15,15 
Rufos (2 lados): 15,15+15,15</t>
  </si>
  <si>
    <t>Área de fixação da estrutura com a parede
0,2x0,3 x 16</t>
  </si>
  <si>
    <t>Área de fixação da estrutura com a laje
0,2x0,3 x 10</t>
  </si>
  <si>
    <t>6.3</t>
  </si>
  <si>
    <t>Projeto Arquitetônico</t>
  </si>
  <si>
    <t>6.4</t>
  </si>
  <si>
    <t>6.5</t>
  </si>
  <si>
    <t>DIVISÓRIA EM ARDÓSIA, ESP. 3CM, INCLUSIVE INSTALAÇÃO, FERRAGENS EM LATÃO CROMADO E ACESSÓRIOS - Bancos</t>
  </si>
  <si>
    <t>MÊS 2</t>
  </si>
  <si>
    <t>MÊS 3</t>
  </si>
  <si>
    <t>90 DIAS</t>
  </si>
  <si>
    <t>ESTACA BROCA DE CONCRETO, DIÂMETRO DE 25CM, ESCAVAÇÃO MANUAL COM TRADO CONCHA, COM ARMADURA DE ARRANQUE. AF_05/2020</t>
  </si>
  <si>
    <t>COTAÇÃO</t>
  </si>
  <si>
    <t>FORNECIMENTO E INSTALAÇÃO DE PERGOLADO DE MADEIRA, EM MAÇARANDUBA, ANGELIM OU EQUIVALENTE DA REGIÃO, FIXADO COM CONCRETO SOBRE PISO DE CONCRETO EXISTENTE. AF_11/2021</t>
  </si>
  <si>
    <t>COBERTURA PARA O PERGOLADO EM POLICARBONATO 2050X6000X3mm COR BRANCA COM FILTRO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</si>
</sst>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* #,##0.00_);_(* \(#,##0.00\);_(* &quot;-&quot;??_);_(@_)"/>
    <numFmt numFmtId="166" formatCode="_(* #,##0.00_);_(* \(#,##0.00\);_(* \-??_);_(@_)"/>
  </numFmts>
  <fonts count="30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  <font>
      <sz val="14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Arial"/>
      <family val="2"/>
    </font>
    <font>
      <b/>
      <u/>
      <sz val="12"/>
      <color rgb="FF00000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Calibri"/>
      <family val="2"/>
      <scheme val="minor"/>
    </font>
    <font>
      <u/>
      <sz val="12"/>
      <color theme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2">
    <xf numFmtId="0" fontId="0" fillId="0" borderId="0"/>
    <xf numFmtId="44" fontId="9" fillId="0" borderId="0" applyFont="0" applyFill="0" applyBorder="0" applyAlignment="0" applyProtection="0"/>
    <xf numFmtId="0" fontId="12" fillId="0" borderId="0" applyNumberFormat="0" applyFill="0" applyBorder="0" applyAlignment="0" applyProtection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6" fontId="6" fillId="0" borderId="0" applyFill="0" applyBorder="0" applyAlignment="0" applyProtection="0"/>
    <xf numFmtId="9" fontId="6" fillId="0" borderId="0" applyFill="0" applyBorder="0" applyAlignment="0" applyProtection="0"/>
  </cellStyleXfs>
  <cellXfs count="341">
    <xf numFmtId="0" fontId="0" fillId="0" borderId="0" xfId="0"/>
    <xf numFmtId="10" fontId="6" fillId="3" borderId="51" xfId="0" applyNumberFormat="1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 wrapText="1"/>
    </xf>
    <xf numFmtId="0" fontId="4" fillId="3" borderId="63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5" fillId="3" borderId="58" xfId="0" applyNumberFormat="1" applyFont="1" applyFill="1" applyBorder="1" applyAlignment="1">
      <alignment horizontal="center" vertical="center" wrapText="1"/>
    </xf>
    <xf numFmtId="49" fontId="5" fillId="3" borderId="59" xfId="0" applyNumberFormat="1" applyFont="1" applyFill="1" applyBorder="1" applyAlignment="1">
      <alignment horizontal="center" vertical="center" wrapText="1"/>
    </xf>
    <xf numFmtId="164" fontId="7" fillId="3" borderId="56" xfId="0" applyNumberFormat="1" applyFont="1" applyFill="1" applyBorder="1" applyAlignment="1">
      <alignment horizontal="center" vertical="center" wrapText="1"/>
    </xf>
    <xf numFmtId="49" fontId="5" fillId="3" borderId="60" xfId="0" applyNumberFormat="1" applyFont="1" applyFill="1" applyBorder="1" applyAlignment="1">
      <alignment horizontal="center" vertical="center" wrapText="1"/>
    </xf>
    <xf numFmtId="49" fontId="5" fillId="3" borderId="61" xfId="0" applyNumberFormat="1" applyFont="1" applyFill="1" applyBorder="1" applyAlignment="1">
      <alignment horizontal="center" vertical="center" wrapText="1"/>
    </xf>
    <xf numFmtId="164" fontId="7" fillId="3" borderId="57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0" fillId="0" borderId="21" xfId="0" applyBorder="1"/>
    <xf numFmtId="0" fontId="0" fillId="0" borderId="46" xfId="0" applyBorder="1"/>
    <xf numFmtId="0" fontId="0" fillId="0" borderId="43" xfId="0" applyBorder="1"/>
    <xf numFmtId="0" fontId="3" fillId="0" borderId="18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/>
    </xf>
    <xf numFmtId="43" fontId="15" fillId="0" borderId="1" xfId="4" applyFont="1" applyBorder="1" applyAlignment="1">
      <alignment horizontal="right" vertical="center"/>
    </xf>
    <xf numFmtId="10" fontId="15" fillId="0" borderId="1" xfId="3" applyNumberFormat="1" applyFont="1" applyBorder="1" applyAlignment="1">
      <alignment horizontal="left" vertical="center"/>
    </xf>
    <xf numFmtId="0" fontId="15" fillId="0" borderId="22" xfId="0" applyFont="1" applyBorder="1" applyAlignment="1">
      <alignment vertical="center"/>
    </xf>
    <xf numFmtId="43" fontId="15" fillId="0" borderId="0" xfId="4" applyFont="1" applyBorder="1" applyAlignment="1">
      <alignment horizontal="right" vertical="center"/>
    </xf>
    <xf numFmtId="9" fontId="15" fillId="0" borderId="0" xfId="3" applyFont="1" applyBorder="1" applyAlignment="1">
      <alignment horizontal="left" vertical="center"/>
    </xf>
    <xf numFmtId="10" fontId="3" fillId="6" borderId="1" xfId="0" applyNumberFormat="1" applyFont="1" applyFill="1" applyBorder="1" applyAlignment="1">
      <alignment horizontal="center"/>
    </xf>
    <xf numFmtId="10" fontId="3" fillId="0" borderId="22" xfId="3" applyNumberFormat="1" applyFont="1" applyFill="1" applyBorder="1" applyAlignment="1"/>
    <xf numFmtId="10" fontId="0" fillId="0" borderId="1" xfId="0" applyNumberFormat="1" applyBorder="1" applyAlignment="1">
      <alignment horizontal="center"/>
    </xf>
    <xf numFmtId="0" fontId="4" fillId="7" borderId="26" xfId="0" applyFont="1" applyFill="1" applyBorder="1" applyAlignment="1">
      <alignment vertical="center" textRotation="90"/>
    </xf>
    <xf numFmtId="0" fontId="15" fillId="7" borderId="1" xfId="0" applyFont="1" applyFill="1" applyBorder="1" applyAlignment="1">
      <alignment vertical="center"/>
    </xf>
    <xf numFmtId="0" fontId="15" fillId="7" borderId="5" xfId="0" applyFont="1" applyFill="1" applyBorder="1" applyAlignment="1">
      <alignment vertical="center"/>
    </xf>
    <xf numFmtId="0" fontId="4" fillId="7" borderId="5" xfId="0" applyFont="1" applyFill="1" applyBorder="1" applyAlignment="1">
      <alignment vertical="center"/>
    </xf>
    <xf numFmtId="0" fontId="4" fillId="7" borderId="26" xfId="0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65" fontId="0" fillId="0" borderId="1" xfId="0" applyNumberFormat="1" applyBorder="1" applyAlignment="1">
      <alignment vertical="center" wrapText="1"/>
    </xf>
    <xf numFmtId="4" fontId="3" fillId="8" borderId="1" xfId="0" applyNumberFormat="1" applyFont="1" applyFill="1" applyBorder="1" applyAlignment="1">
      <alignment horizontal="right"/>
    </xf>
    <xf numFmtId="0" fontId="0" fillId="0" borderId="20" xfId="0" applyBorder="1"/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top"/>
    </xf>
    <xf numFmtId="0" fontId="0" fillId="0" borderId="33" xfId="0" applyBorder="1"/>
    <xf numFmtId="164" fontId="3" fillId="8" borderId="1" xfId="0" applyNumberFormat="1" applyFont="1" applyFill="1" applyBorder="1" applyAlignment="1">
      <alignment horizontal="right"/>
    </xf>
    <xf numFmtId="164" fontId="3" fillId="8" borderId="22" xfId="0" applyNumberFormat="1" applyFont="1" applyFill="1" applyBorder="1" applyAlignment="1">
      <alignment horizontal="right"/>
    </xf>
    <xf numFmtId="164" fontId="0" fillId="0" borderId="1" xfId="1" applyNumberFormat="1" applyFont="1" applyFill="1" applyBorder="1" applyAlignment="1">
      <alignment vertical="center" wrapText="1"/>
    </xf>
    <xf numFmtId="164" fontId="0" fillId="0" borderId="1" xfId="1" applyNumberFormat="1" applyFont="1" applyBorder="1" applyAlignment="1">
      <alignment horizontal="right" vertical="center"/>
    </xf>
    <xf numFmtId="164" fontId="3" fillId="0" borderId="22" xfId="1" applyNumberFormat="1" applyFont="1" applyBorder="1" applyAlignment="1">
      <alignment horizontal="right" vertical="center"/>
    </xf>
    <xf numFmtId="0" fontId="1" fillId="0" borderId="33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164" fontId="7" fillId="3" borderId="63" xfId="0" applyNumberFormat="1" applyFont="1" applyFill="1" applyBorder="1" applyAlignment="1">
      <alignment horizontal="center" vertical="center" wrapText="1"/>
    </xf>
    <xf numFmtId="10" fontId="3" fillId="8" borderId="1" xfId="0" applyNumberFormat="1" applyFont="1" applyFill="1" applyBorder="1" applyAlignment="1">
      <alignment horizontal="center"/>
    </xf>
    <xf numFmtId="4" fontId="15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3" fillId="3" borderId="12" xfId="0" applyFont="1" applyFill="1" applyBorder="1" applyAlignment="1">
      <alignment horizontal="center" vertical="center"/>
    </xf>
    <xf numFmtId="0" fontId="4" fillId="7" borderId="1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1" fillId="0" borderId="0" xfId="0" applyFont="1"/>
    <xf numFmtId="10" fontId="22" fillId="0" borderId="22" xfId="0" applyNumberFormat="1" applyFont="1" applyBorder="1" applyAlignment="1">
      <alignment horizontal="center" vertical="center" wrapText="1"/>
    </xf>
    <xf numFmtId="0" fontId="20" fillId="2" borderId="12" xfId="0" applyFont="1" applyFill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left" vertical="center" wrapText="1"/>
    </xf>
    <xf numFmtId="2" fontId="25" fillId="0" borderId="37" xfId="0" applyNumberFormat="1" applyFont="1" applyBorder="1" applyAlignment="1">
      <alignment horizontal="center" vertical="center" wrapText="1"/>
    </xf>
    <xf numFmtId="0" fontId="25" fillId="0" borderId="26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2" fontId="25" fillId="0" borderId="22" xfId="0" applyNumberFormat="1" applyFont="1" applyBorder="1" applyAlignment="1">
      <alignment horizontal="center" vertical="center" wrapText="1"/>
    </xf>
    <xf numFmtId="2" fontId="25" fillId="0" borderId="25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6" fillId="0" borderId="0" xfId="0" applyFont="1"/>
    <xf numFmtId="10" fontId="20" fillId="0" borderId="22" xfId="0" applyNumberFormat="1" applyFont="1" applyBorder="1" applyAlignment="1">
      <alignment horizontal="center" vertical="center" wrapText="1"/>
    </xf>
    <xf numFmtId="0" fontId="19" fillId="0" borderId="27" xfId="0" applyFont="1" applyBorder="1" applyAlignment="1">
      <alignment horizontal="center"/>
    </xf>
    <xf numFmtId="0" fontId="19" fillId="0" borderId="23" xfId="0" applyFont="1" applyBorder="1" applyAlignment="1">
      <alignment horizontal="center"/>
    </xf>
    <xf numFmtId="0" fontId="2" fillId="2" borderId="12" xfId="0" applyFont="1" applyFill="1" applyBorder="1" applyAlignment="1">
      <alignment horizontal="center" vertical="center" wrapText="1"/>
    </xf>
    <xf numFmtId="164" fontId="2" fillId="2" borderId="47" xfId="0" applyNumberFormat="1" applyFont="1" applyFill="1" applyBorder="1" applyAlignment="1">
      <alignment horizontal="right" vertical="center" wrapText="1"/>
    </xf>
    <xf numFmtId="164" fontId="2" fillId="2" borderId="14" xfId="0" applyNumberFormat="1" applyFont="1" applyFill="1" applyBorder="1" applyAlignment="1">
      <alignment horizontal="right" vertical="center" wrapText="1"/>
    </xf>
    <xf numFmtId="164" fontId="2" fillId="2" borderId="63" xfId="0" applyNumberFormat="1" applyFont="1" applyFill="1" applyBorder="1" applyAlignment="1">
      <alignment horizontal="right" vertical="center" wrapText="1"/>
    </xf>
    <xf numFmtId="0" fontId="25" fillId="0" borderId="0" xfId="0" applyFont="1"/>
    <xf numFmtId="164" fontId="25" fillId="0" borderId="36" xfId="1" applyNumberFormat="1" applyFont="1" applyBorder="1" applyAlignment="1">
      <alignment horizontal="right" vertical="center" wrapText="1"/>
    </xf>
    <xf numFmtId="164" fontId="25" fillId="0" borderId="36" xfId="0" applyNumberFormat="1" applyFont="1" applyBorder="1" applyAlignment="1">
      <alignment horizontal="right" vertical="center" wrapText="1"/>
    </xf>
    <xf numFmtId="164" fontId="25" fillId="0" borderId="51" xfId="0" applyNumberFormat="1" applyFont="1" applyBorder="1" applyAlignment="1">
      <alignment horizontal="right" vertical="center"/>
    </xf>
    <xf numFmtId="164" fontId="25" fillId="0" borderId="50" xfId="0" applyNumberFormat="1" applyFont="1" applyBorder="1" applyAlignment="1">
      <alignment horizontal="right" vertical="center"/>
    </xf>
    <xf numFmtId="164" fontId="25" fillId="0" borderId="1" xfId="1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 wrapText="1"/>
    </xf>
    <xf numFmtId="164" fontId="25" fillId="0" borderId="1" xfId="0" applyNumberFormat="1" applyFont="1" applyBorder="1" applyAlignment="1">
      <alignment horizontal="right" vertical="center"/>
    </xf>
    <xf numFmtId="164" fontId="25" fillId="0" borderId="22" xfId="0" applyNumberFormat="1" applyFont="1" applyBorder="1" applyAlignment="1">
      <alignment horizontal="right" vertical="center"/>
    </xf>
    <xf numFmtId="164" fontId="25" fillId="0" borderId="5" xfId="1" applyNumberFormat="1" applyFont="1" applyBorder="1" applyAlignment="1">
      <alignment horizontal="right" vertical="center" wrapText="1"/>
    </xf>
    <xf numFmtId="164" fontId="25" fillId="0" borderId="5" xfId="0" applyNumberFormat="1" applyFont="1" applyBorder="1" applyAlignment="1">
      <alignment horizontal="right" vertical="center" wrapText="1"/>
    </xf>
    <xf numFmtId="0" fontId="2" fillId="2" borderId="16" xfId="0" applyFont="1" applyFill="1" applyBorder="1" applyAlignment="1">
      <alignment horizontal="center" vertical="center" wrapText="1"/>
    </xf>
    <xf numFmtId="164" fontId="2" fillId="2" borderId="34" xfId="0" applyNumberFormat="1" applyFont="1" applyFill="1" applyBorder="1" applyAlignment="1">
      <alignment horizontal="right" vertical="center" wrapText="1"/>
    </xf>
    <xf numFmtId="164" fontId="25" fillId="0" borderId="5" xfId="0" applyNumberFormat="1" applyFont="1" applyBorder="1" applyAlignment="1">
      <alignment horizontal="right" vertical="center"/>
    </xf>
    <xf numFmtId="164" fontId="25" fillId="0" borderId="25" xfId="0" applyNumberFormat="1" applyFont="1" applyBorder="1" applyAlignment="1">
      <alignment horizontal="right" vertical="center"/>
    </xf>
    <xf numFmtId="164" fontId="24" fillId="0" borderId="64" xfId="0" applyNumberFormat="1" applyFont="1" applyBorder="1" applyAlignment="1">
      <alignment horizontal="right" vertical="center"/>
    </xf>
    <xf numFmtId="164" fontId="24" fillId="0" borderId="29" xfId="0" applyNumberFormat="1" applyFont="1" applyBorder="1" applyAlignment="1">
      <alignment horizontal="right" vertical="center"/>
    </xf>
    <xf numFmtId="164" fontId="19" fillId="0" borderId="47" xfId="0" applyNumberFormat="1" applyFont="1" applyBorder="1" applyAlignment="1">
      <alignment horizontal="right" vertical="center"/>
    </xf>
    <xf numFmtId="0" fontId="21" fillId="0" borderId="20" xfId="0" applyFont="1" applyBorder="1"/>
    <xf numFmtId="0" fontId="27" fillId="0" borderId="0" xfId="2" applyFont="1"/>
    <xf numFmtId="0" fontId="21" fillId="0" borderId="0" xfId="0" applyFont="1" applyAlignment="1">
      <alignment horizontal="center" wrapText="1"/>
    </xf>
    <xf numFmtId="0" fontId="25" fillId="0" borderId="35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5" fillId="0" borderId="36" xfId="0" applyFont="1" applyBorder="1" applyAlignment="1">
      <alignment horizontal="justify" vertical="center" wrapText="1"/>
    </xf>
    <xf numFmtId="2" fontId="25" fillId="0" borderId="36" xfId="0" applyNumberFormat="1" applyFont="1" applyBorder="1" applyAlignment="1">
      <alignment horizontal="center" vertical="center" wrapText="1"/>
    </xf>
    <xf numFmtId="0" fontId="25" fillId="0" borderId="1" xfId="0" applyFont="1" applyBorder="1" applyAlignment="1">
      <alignment horizontal="justify" vertical="center" wrapText="1"/>
    </xf>
    <xf numFmtId="2" fontId="25" fillId="0" borderId="1" xfId="0" applyNumberFormat="1" applyFont="1" applyBorder="1" applyAlignment="1">
      <alignment horizontal="center" vertical="center" wrapText="1"/>
    </xf>
    <xf numFmtId="0" fontId="25" fillId="0" borderId="62" xfId="0" applyFont="1" applyBorder="1" applyAlignment="1">
      <alignment horizontal="center" vertical="center" wrapText="1"/>
    </xf>
    <xf numFmtId="0" fontId="25" fillId="0" borderId="62" xfId="0" applyFont="1" applyBorder="1" applyAlignment="1">
      <alignment horizontal="justify" vertical="center" wrapText="1"/>
    </xf>
    <xf numFmtId="164" fontId="25" fillId="0" borderId="64" xfId="0" applyNumberFormat="1" applyFont="1" applyBorder="1" applyAlignment="1">
      <alignment horizontal="right" vertical="center"/>
    </xf>
    <xf numFmtId="164" fontId="25" fillId="0" borderId="0" xfId="0" applyNumberFormat="1" applyFont="1" applyAlignment="1">
      <alignment horizontal="right" vertical="center"/>
    </xf>
    <xf numFmtId="0" fontId="2" fillId="10" borderId="16" xfId="5" applyFont="1" applyFill="1" applyBorder="1" applyAlignment="1">
      <alignment horizontal="center" vertical="center" wrapText="1"/>
    </xf>
    <xf numFmtId="164" fontId="2" fillId="10" borderId="47" xfId="5" applyNumberFormat="1" applyFont="1" applyFill="1" applyBorder="1" applyAlignment="1">
      <alignment horizontal="right" vertical="center" wrapText="1"/>
    </xf>
    <xf numFmtId="0" fontId="2" fillId="10" borderId="47" xfId="5" applyFont="1" applyFill="1" applyBorder="1" applyAlignment="1">
      <alignment horizontal="left" vertical="center" wrapText="1"/>
    </xf>
    <xf numFmtId="0" fontId="25" fillId="0" borderId="1" xfId="5" applyFont="1" applyBorder="1" applyAlignment="1">
      <alignment horizontal="center" vertical="center" wrapText="1"/>
    </xf>
    <xf numFmtId="0" fontId="25" fillId="0" borderId="5" xfId="5" applyFont="1" applyBorder="1" applyAlignment="1">
      <alignment horizontal="center" vertical="center" wrapText="1"/>
    </xf>
    <xf numFmtId="0" fontId="25" fillId="0" borderId="24" xfId="5" applyFont="1" applyBorder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5" fillId="5" borderId="5" xfId="5" applyFont="1" applyFill="1" applyBorder="1" applyAlignment="1">
      <alignment horizontal="justify" vertical="center" wrapText="1"/>
    </xf>
    <xf numFmtId="0" fontId="25" fillId="0" borderId="26" xfId="5" applyFont="1" applyBorder="1" applyAlignment="1">
      <alignment horizontal="center" vertical="center" wrapText="1"/>
    </xf>
    <xf numFmtId="0" fontId="25" fillId="5" borderId="1" xfId="5" applyFont="1" applyFill="1" applyBorder="1" applyAlignment="1">
      <alignment horizontal="justify" vertical="center" wrapText="1"/>
    </xf>
    <xf numFmtId="164" fontId="25" fillId="0" borderId="1" xfId="6" applyNumberFormat="1" applyFont="1" applyBorder="1" applyAlignment="1">
      <alignment horizontal="right" vertical="center" wrapText="1"/>
    </xf>
    <xf numFmtId="164" fontId="25" fillId="0" borderId="5" xfId="6" applyNumberFormat="1" applyFont="1" applyBorder="1" applyAlignment="1">
      <alignment horizontal="right" vertical="center" wrapText="1"/>
    </xf>
    <xf numFmtId="2" fontId="25" fillId="0" borderId="21" xfId="0" applyNumberFormat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justify"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0" xfId="0" applyFont="1" applyAlignment="1">
      <alignment horizontal="justify" vertical="center" wrapText="1"/>
    </xf>
    <xf numFmtId="0" fontId="25" fillId="0" borderId="0" xfId="0" applyFont="1" applyAlignment="1">
      <alignment horizontal="center" vertical="center" wrapText="1"/>
    </xf>
    <xf numFmtId="164" fontId="25" fillId="0" borderId="38" xfId="0" applyNumberFormat="1" applyFont="1" applyBorder="1" applyAlignment="1">
      <alignment horizontal="right" vertical="center"/>
    </xf>
    <xf numFmtId="0" fontId="25" fillId="0" borderId="64" xfId="0" applyFont="1" applyBorder="1" applyAlignment="1">
      <alignment horizontal="center" vertical="center"/>
    </xf>
    <xf numFmtId="0" fontId="19" fillId="0" borderId="64" xfId="0" applyFont="1" applyBorder="1" applyAlignment="1">
      <alignment horizontal="center" vertical="center" wrapText="1"/>
    </xf>
    <xf numFmtId="0" fontId="25" fillId="0" borderId="64" xfId="0" applyFont="1" applyBorder="1" applyAlignment="1">
      <alignment horizontal="justify" vertical="center" wrapText="1"/>
    </xf>
    <xf numFmtId="0" fontId="22" fillId="0" borderId="64" xfId="0" applyFont="1" applyBorder="1" applyAlignment="1">
      <alignment horizontal="center" vertical="center" wrapText="1"/>
    </xf>
    <xf numFmtId="44" fontId="22" fillId="0" borderId="64" xfId="1" applyFont="1" applyFill="1" applyBorder="1" applyAlignment="1">
      <alignment horizontal="right" vertical="center" wrapText="1"/>
    </xf>
    <xf numFmtId="164" fontId="2" fillId="2" borderId="47" xfId="0" applyNumberFormat="1" applyFont="1" applyFill="1" applyBorder="1" applyAlignment="1">
      <alignment wrapText="1"/>
    </xf>
    <xf numFmtId="0" fontId="25" fillId="0" borderId="7" xfId="5" applyFont="1" applyBorder="1" applyAlignment="1">
      <alignment horizontal="center" vertical="center" wrapText="1"/>
    </xf>
    <xf numFmtId="0" fontId="25" fillId="5" borderId="0" xfId="5" applyFont="1" applyFill="1" applyAlignment="1">
      <alignment horizontal="justify" vertical="center" wrapText="1"/>
    </xf>
    <xf numFmtId="164" fontId="25" fillId="0" borderId="38" xfId="6" applyNumberFormat="1" applyFont="1" applyBorder="1" applyAlignment="1">
      <alignment horizontal="right" vertical="center" wrapText="1"/>
    </xf>
    <xf numFmtId="0" fontId="2" fillId="0" borderId="1" xfId="5" applyFont="1" applyBorder="1" applyAlignment="1">
      <alignment horizontal="center" vertical="center" wrapText="1"/>
    </xf>
    <xf numFmtId="0" fontId="25" fillId="0" borderId="20" xfId="5" applyFont="1" applyBorder="1" applyAlignment="1">
      <alignment horizontal="center" vertical="center" wrapText="1"/>
    </xf>
    <xf numFmtId="164" fontId="25" fillId="0" borderId="0" xfId="6" applyNumberFormat="1" applyFont="1" applyBorder="1" applyAlignment="1">
      <alignment horizontal="right" vertical="center" wrapText="1"/>
    </xf>
    <xf numFmtId="0" fontId="4" fillId="9" borderId="21" xfId="0" applyFont="1" applyFill="1" applyBorder="1" applyAlignment="1">
      <alignment horizontal="center" vertical="center"/>
    </xf>
    <xf numFmtId="10" fontId="28" fillId="11" borderId="70" xfId="0" applyNumberFormat="1" applyFont="1" applyFill="1" applyBorder="1" applyAlignment="1">
      <alignment horizontal="right" vertical="center"/>
    </xf>
    <xf numFmtId="164" fontId="29" fillId="11" borderId="73" xfId="0" applyNumberFormat="1" applyFont="1" applyFill="1" applyBorder="1" applyAlignment="1">
      <alignment vertical="center" wrapText="1"/>
    </xf>
    <xf numFmtId="49" fontId="5" fillId="3" borderId="38" xfId="0" applyNumberFormat="1" applyFont="1" applyFill="1" applyBorder="1" applyAlignment="1">
      <alignment horizontal="center" vertical="center" wrapText="1"/>
    </xf>
    <xf numFmtId="49" fontId="5" fillId="3" borderId="30" xfId="0" applyNumberFormat="1" applyFont="1" applyFill="1" applyBorder="1" applyAlignment="1">
      <alignment horizontal="center" vertical="center" wrapText="1"/>
    </xf>
    <xf numFmtId="164" fontId="28" fillId="13" borderId="76" xfId="0" applyNumberFormat="1" applyFont="1" applyFill="1" applyBorder="1" applyAlignment="1">
      <alignment horizontal="center" vertical="center" wrapText="1"/>
    </xf>
    <xf numFmtId="0" fontId="2" fillId="10" borderId="13" xfId="5" applyFont="1" applyFill="1" applyBorder="1" applyAlignment="1">
      <alignment horizontal="left" vertical="center" wrapText="1"/>
    </xf>
    <xf numFmtId="0" fontId="2" fillId="10" borderId="14" xfId="5" applyFont="1" applyFill="1" applyBorder="1" applyAlignment="1">
      <alignment horizontal="left" vertical="center" wrapText="1"/>
    </xf>
    <xf numFmtId="0" fontId="2" fillId="10" borderId="48" xfId="5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left" vertical="center" wrapText="1"/>
    </xf>
    <xf numFmtId="0" fontId="2" fillId="2" borderId="48" xfId="0" applyFont="1" applyFill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top" wrapText="1"/>
    </xf>
    <xf numFmtId="0" fontId="1" fillId="0" borderId="1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" fillId="0" borderId="20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21" xfId="0" applyFont="1" applyBorder="1" applyAlignment="1">
      <alignment horizontal="left" vertical="top" wrapText="1"/>
    </xf>
    <xf numFmtId="0" fontId="1" fillId="0" borderId="46" xfId="0" applyFont="1" applyBorder="1" applyAlignment="1">
      <alignment horizontal="left" vertical="top" wrapText="1"/>
    </xf>
    <xf numFmtId="0" fontId="1" fillId="0" borderId="33" xfId="0" applyFont="1" applyBorder="1" applyAlignment="1">
      <alignment horizontal="left" vertical="top" wrapText="1"/>
    </xf>
    <xf numFmtId="0" fontId="1" fillId="0" borderId="43" xfId="0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center"/>
    </xf>
    <xf numFmtId="0" fontId="19" fillId="0" borderId="14" xfId="0" applyFont="1" applyBorder="1" applyAlignment="1">
      <alignment horizontal="center" vertical="center"/>
    </xf>
    <xf numFmtId="0" fontId="19" fillId="0" borderId="48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2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19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43" xfId="0" applyFont="1" applyBorder="1" applyAlignment="1">
      <alignment horizontal="center" vertical="center"/>
    </xf>
    <xf numFmtId="0" fontId="21" fillId="0" borderId="66" xfId="0" applyFont="1" applyBorder="1" applyAlignment="1">
      <alignment horizontal="center" vertical="top" wrapText="1"/>
    </xf>
    <xf numFmtId="0" fontId="21" fillId="0" borderId="41" xfId="0" applyFont="1" applyBorder="1" applyAlignment="1">
      <alignment horizontal="center" vertical="top" wrapText="1"/>
    </xf>
    <xf numFmtId="0" fontId="19" fillId="0" borderId="24" xfId="0" applyFont="1" applyBorder="1" applyAlignment="1">
      <alignment horizontal="center"/>
    </xf>
    <xf numFmtId="0" fontId="19" fillId="0" borderId="25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4" fontId="19" fillId="0" borderId="4" xfId="0" applyNumberFormat="1" applyFont="1" applyBorder="1" applyAlignment="1">
      <alignment horizontal="center" vertical="center" wrapText="1"/>
    </xf>
    <xf numFmtId="4" fontId="19" fillId="0" borderId="8" xfId="0" applyNumberFormat="1" applyFont="1" applyBorder="1" applyAlignment="1">
      <alignment horizontal="center" vertical="center"/>
    </xf>
    <xf numFmtId="4" fontId="19" fillId="0" borderId="9" xfId="0" applyNumberFormat="1" applyFont="1" applyBorder="1" applyAlignment="1">
      <alignment horizontal="center" vertical="center"/>
    </xf>
    <xf numFmtId="4" fontId="19" fillId="0" borderId="7" xfId="0" applyNumberFormat="1" applyFont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/>
    </xf>
    <xf numFmtId="4" fontId="19" fillId="0" borderId="38" xfId="0" applyNumberFormat="1" applyFont="1" applyBorder="1" applyAlignment="1">
      <alignment horizontal="center" vertical="center"/>
    </xf>
    <xf numFmtId="4" fontId="19" fillId="0" borderId="42" xfId="0" applyNumberFormat="1" applyFont="1" applyBorder="1" applyAlignment="1">
      <alignment horizontal="center" vertical="center"/>
    </xf>
    <xf numFmtId="4" fontId="19" fillId="0" borderId="33" xfId="0" applyNumberFormat="1" applyFont="1" applyBorder="1" applyAlignment="1">
      <alignment horizontal="center" vertical="center"/>
    </xf>
    <xf numFmtId="4" fontId="19" fillId="0" borderId="39" xfId="0" applyNumberFormat="1" applyFont="1" applyBorder="1" applyAlignment="1">
      <alignment horizontal="center" vertical="center"/>
    </xf>
    <xf numFmtId="0" fontId="20" fillId="0" borderId="42" xfId="0" applyFont="1" applyBorder="1" applyAlignment="1">
      <alignment horizontal="center" vertical="center" wrapText="1"/>
    </xf>
    <xf numFmtId="0" fontId="20" fillId="0" borderId="33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19" fillId="0" borderId="51" xfId="0" applyFont="1" applyBorder="1" applyAlignment="1">
      <alignment horizontal="center" vertical="center"/>
    </xf>
    <xf numFmtId="0" fontId="19" fillId="0" borderId="52" xfId="0" applyFont="1" applyBorder="1" applyAlignment="1">
      <alignment horizontal="center" vertical="center"/>
    </xf>
    <xf numFmtId="0" fontId="20" fillId="0" borderId="36" xfId="0" applyFont="1" applyBorder="1" applyAlignment="1">
      <alignment horizontal="center" vertical="center" wrapText="1"/>
    </xf>
    <xf numFmtId="0" fontId="20" fillId="0" borderId="3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/>
    </xf>
    <xf numFmtId="0" fontId="19" fillId="0" borderId="50" xfId="0" applyFont="1" applyBorder="1" applyAlignment="1">
      <alignment horizontal="center" vertical="center"/>
    </xf>
    <xf numFmtId="0" fontId="19" fillId="0" borderId="4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4" fontId="19" fillId="0" borderId="3" xfId="0" applyNumberFormat="1" applyFont="1" applyBorder="1" applyAlignment="1">
      <alignment horizontal="left" vertical="center" wrapText="1"/>
    </xf>
    <xf numFmtId="4" fontId="19" fillId="0" borderId="6" xfId="0" applyNumberFormat="1" applyFont="1" applyBorder="1" applyAlignment="1">
      <alignment horizontal="left" vertical="center" wrapText="1"/>
    </xf>
    <xf numFmtId="0" fontId="19" fillId="0" borderId="41" xfId="0" applyFont="1" applyBorder="1" applyAlignment="1">
      <alignment horizontal="left" vertical="center"/>
    </xf>
    <xf numFmtId="0" fontId="19" fillId="0" borderId="49" xfId="0" applyFont="1" applyBorder="1" applyAlignment="1">
      <alignment horizontal="left" vertical="center"/>
    </xf>
    <xf numFmtId="0" fontId="19" fillId="0" borderId="18" xfId="0" applyFont="1" applyBorder="1" applyAlignment="1">
      <alignment horizontal="center" vertical="center"/>
    </xf>
    <xf numFmtId="0" fontId="19" fillId="0" borderId="45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4" fontId="19" fillId="0" borderId="3" xfId="0" applyNumberFormat="1" applyFont="1" applyBorder="1" applyAlignment="1">
      <alignment horizontal="left" vertical="center"/>
    </xf>
    <xf numFmtId="4" fontId="19" fillId="0" borderId="6" xfId="0" applyNumberFormat="1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2" fontId="24" fillId="0" borderId="1" xfId="0" applyNumberFormat="1" applyFont="1" applyBorder="1" applyAlignment="1">
      <alignment horizontal="center" vertical="center" wrapText="1"/>
    </xf>
    <xf numFmtId="2" fontId="24" fillId="0" borderId="5" xfId="0" applyNumberFormat="1" applyFont="1" applyBorder="1" applyAlignment="1">
      <alignment horizontal="center" vertical="center" wrapText="1"/>
    </xf>
    <xf numFmtId="2" fontId="24" fillId="0" borderId="2" xfId="0" applyNumberFormat="1" applyFont="1" applyBorder="1" applyAlignment="1">
      <alignment horizontal="center" vertical="center" wrapText="1"/>
    </xf>
    <xf numFmtId="2" fontId="24" fillId="0" borderId="6" xfId="0" applyNumberFormat="1" applyFont="1" applyBorder="1" applyAlignment="1">
      <alignment horizontal="center" vertical="center" wrapText="1"/>
    </xf>
    <xf numFmtId="2" fontId="24" fillId="0" borderId="67" xfId="0" applyNumberFormat="1" applyFont="1" applyBorder="1" applyAlignment="1">
      <alignment horizontal="center" vertical="center" wrapText="1"/>
    </xf>
    <xf numFmtId="2" fontId="24" fillId="0" borderId="68" xfId="0" applyNumberFormat="1" applyFont="1" applyBorder="1" applyAlignment="1">
      <alignment horizontal="center" vertical="center" wrapText="1"/>
    </xf>
    <xf numFmtId="0" fontId="2" fillId="10" borderId="12" xfId="5" applyFont="1" applyFill="1" applyBorder="1" applyAlignment="1">
      <alignment vertical="center" wrapText="1"/>
    </xf>
    <xf numFmtId="0" fontId="2" fillId="10" borderId="14" xfId="5" applyFont="1" applyFill="1" applyBorder="1" applyAlignment="1">
      <alignment vertical="center" wrapText="1"/>
    </xf>
    <xf numFmtId="0" fontId="2" fillId="10" borderId="48" xfId="5" applyFont="1" applyFill="1" applyBorder="1" applyAlignment="1">
      <alignment vertical="center" wrapText="1"/>
    </xf>
    <xf numFmtId="2" fontId="19" fillId="0" borderId="36" xfId="0" applyNumberFormat="1" applyFont="1" applyBorder="1" applyAlignment="1">
      <alignment horizontal="center" vertical="center"/>
    </xf>
    <xf numFmtId="2" fontId="19" fillId="0" borderId="31" xfId="0" applyNumberFormat="1" applyFont="1" applyBorder="1" applyAlignment="1">
      <alignment horizontal="center" vertical="center"/>
    </xf>
    <xf numFmtId="0" fontId="20" fillId="2" borderId="13" xfId="0" applyFont="1" applyFill="1" applyBorder="1" applyAlignment="1">
      <alignment horizontal="left" vertical="center" wrapText="1"/>
    </xf>
    <xf numFmtId="0" fontId="20" fillId="2" borderId="14" xfId="0" applyFont="1" applyFill="1" applyBorder="1" applyAlignment="1">
      <alignment horizontal="left" vertical="center" wrapText="1"/>
    </xf>
    <xf numFmtId="0" fontId="20" fillId="2" borderId="15" xfId="0" applyFont="1" applyFill="1" applyBorder="1" applyAlignment="1">
      <alignment horizontal="left" vertical="center" wrapText="1"/>
    </xf>
    <xf numFmtId="0" fontId="19" fillId="0" borderId="36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9" fillId="0" borderId="37" xfId="0" applyFont="1" applyBorder="1" applyAlignment="1">
      <alignment horizontal="center" vertical="center"/>
    </xf>
    <xf numFmtId="0" fontId="19" fillId="0" borderId="32" xfId="0" applyFont="1" applyBorder="1" applyAlignment="1">
      <alignment horizontal="center" vertical="center"/>
    </xf>
    <xf numFmtId="0" fontId="21" fillId="0" borderId="46" xfId="0" applyFont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24" fillId="0" borderId="28" xfId="0" applyFont="1" applyBorder="1" applyAlignment="1">
      <alignment horizontal="center" wrapText="1"/>
    </xf>
    <xf numFmtId="2" fontId="24" fillId="0" borderId="13" xfId="0" applyNumberFormat="1" applyFont="1" applyBorder="1" applyAlignment="1">
      <alignment horizontal="center" vertical="center" wrapText="1"/>
    </xf>
    <xf numFmtId="2" fontId="24" fillId="0" borderId="48" xfId="0" applyNumberFormat="1" applyFont="1" applyBorder="1" applyAlignment="1">
      <alignment horizontal="center" vertical="center" wrapText="1"/>
    </xf>
    <xf numFmtId="2" fontId="24" fillId="0" borderId="69" xfId="0" applyNumberFormat="1" applyFont="1" applyBorder="1" applyAlignment="1">
      <alignment horizontal="center" vertical="center" wrapText="1"/>
    </xf>
    <xf numFmtId="2" fontId="24" fillId="0" borderId="49" xfId="0" applyNumberFormat="1" applyFon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1" fillId="0" borderId="17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justify" vertical="center" wrapText="1"/>
    </xf>
    <xf numFmtId="0" fontId="1" fillId="0" borderId="19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1" fillId="0" borderId="21" xfId="0" applyFont="1" applyBorder="1" applyAlignment="1">
      <alignment horizontal="justify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4" fontId="4" fillId="3" borderId="12" xfId="0" applyNumberFormat="1" applyFont="1" applyFill="1" applyBorder="1" applyAlignment="1">
      <alignment horizontal="left" vertical="center"/>
    </xf>
    <xf numFmtId="4" fontId="4" fillId="3" borderId="14" xfId="0" applyNumberFormat="1" applyFont="1" applyFill="1" applyBorder="1" applyAlignment="1">
      <alignment horizontal="left" vertical="center"/>
    </xf>
    <xf numFmtId="0" fontId="4" fillId="5" borderId="14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164" fontId="29" fillId="13" borderId="74" xfId="0" applyNumberFormat="1" applyFont="1" applyFill="1" applyBorder="1" applyAlignment="1">
      <alignment horizontal="center" vertical="center" wrapText="1"/>
    </xf>
    <xf numFmtId="0" fontId="6" fillId="0" borderId="75" xfId="0" applyFont="1" applyBorder="1"/>
    <xf numFmtId="10" fontId="29" fillId="12" borderId="71" xfId="0" applyNumberFormat="1" applyFont="1" applyFill="1" applyBorder="1" applyAlignment="1">
      <alignment horizontal="center" vertical="center" wrapText="1"/>
    </xf>
    <xf numFmtId="0" fontId="6" fillId="0" borderId="72" xfId="0" applyFont="1" applyBorder="1"/>
    <xf numFmtId="0" fontId="3" fillId="3" borderId="53" xfId="0" applyFont="1" applyFill="1" applyBorder="1" applyAlignment="1">
      <alignment horizontal="center" vertical="center"/>
    </xf>
    <xf numFmtId="0" fontId="3" fillId="3" borderId="55" xfId="0" applyFont="1" applyFill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 wrapText="1"/>
    </xf>
    <xf numFmtId="0" fontId="3" fillId="3" borderId="46" xfId="0" applyFont="1" applyFill="1" applyBorder="1" applyAlignment="1">
      <alignment horizontal="center" vertical="center" wrapText="1"/>
    </xf>
    <xf numFmtId="0" fontId="3" fillId="3" borderId="43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/>
    </xf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10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21" xfId="0" applyFont="1" applyBorder="1" applyAlignment="1">
      <alignment horizont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33" xfId="0" applyFont="1" applyBorder="1" applyAlignment="1">
      <alignment horizontal="center" vertical="center"/>
    </xf>
    <xf numFmtId="0" fontId="10" fillId="0" borderId="43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21" xfId="0" applyFont="1" applyBorder="1" applyAlignment="1">
      <alignment horizontal="center" vertical="center"/>
    </xf>
    <xf numFmtId="0" fontId="18" fillId="0" borderId="0" xfId="0" applyFont="1" applyAlignment="1">
      <alignment horizontal="center" vertical="top"/>
    </xf>
    <xf numFmtId="0" fontId="18" fillId="0" borderId="21" xfId="0" applyFont="1" applyBorder="1" applyAlignment="1">
      <alignment horizontal="center" vertical="top"/>
    </xf>
    <xf numFmtId="164" fontId="15" fillId="0" borderId="2" xfId="1" applyNumberFormat="1" applyFont="1" applyBorder="1" applyAlignment="1">
      <alignment horizontal="center" vertical="center"/>
    </xf>
    <xf numFmtId="164" fontId="15" fillId="0" borderId="6" xfId="1" applyNumberFormat="1" applyFont="1" applyBorder="1" applyAlignment="1">
      <alignment horizontal="center" vertical="center"/>
    </xf>
    <xf numFmtId="4" fontId="3" fillId="8" borderId="26" xfId="0" applyNumberFormat="1" applyFont="1" applyFill="1" applyBorder="1" applyAlignment="1">
      <alignment horizontal="center"/>
    </xf>
    <xf numFmtId="4" fontId="3" fillId="8" borderId="1" xfId="0" applyNumberFormat="1" applyFont="1" applyFill="1" applyBorder="1" applyAlignment="1">
      <alignment horizontal="center"/>
    </xf>
    <xf numFmtId="4" fontId="3" fillId="8" borderId="5" xfId="0" applyNumberFormat="1" applyFont="1" applyFill="1" applyBorder="1" applyAlignment="1">
      <alignment horizontal="center"/>
    </xf>
    <xf numFmtId="10" fontId="0" fillId="6" borderId="2" xfId="0" applyNumberFormat="1" applyFill="1" applyBorder="1" applyAlignment="1">
      <alignment horizontal="center"/>
    </xf>
    <xf numFmtId="10" fontId="0" fillId="6" borderId="6" xfId="0" applyNumberFormat="1" applyFill="1" applyBorder="1" applyAlignment="1">
      <alignment horizontal="center"/>
    </xf>
    <xf numFmtId="0" fontId="0" fillId="0" borderId="65" xfId="0" applyBorder="1" applyAlignment="1">
      <alignment horizontal="left"/>
    </xf>
    <xf numFmtId="0" fontId="0" fillId="0" borderId="6" xfId="0" applyBorder="1" applyAlignment="1">
      <alignment horizontal="left"/>
    </xf>
    <xf numFmtId="0" fontId="4" fillId="7" borderId="1" xfId="0" applyFont="1" applyFill="1" applyBorder="1" applyAlignment="1">
      <alignment horizontal="center" vertical="center"/>
    </xf>
    <xf numFmtId="0" fontId="4" fillId="7" borderId="2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6" fillId="0" borderId="2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5" fillId="0" borderId="65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6" fillId="0" borderId="6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15" fillId="0" borderId="26" xfId="0" applyFont="1" applyBorder="1" applyAlignment="1">
      <alignment horizontal="left" vertical="center"/>
    </xf>
    <xf numFmtId="0" fontId="15" fillId="0" borderId="1" xfId="0" applyFont="1" applyBorder="1" applyAlignment="1">
      <alignment horizontal="left" vertical="center"/>
    </xf>
    <xf numFmtId="0" fontId="15" fillId="0" borderId="2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15" fillId="0" borderId="65" xfId="0" applyFont="1" applyBorder="1" applyAlignment="1">
      <alignment horizontal="justify" vertical="center" wrapText="1"/>
    </xf>
    <xf numFmtId="0" fontId="15" fillId="0" borderId="3" xfId="0" applyFont="1" applyBorder="1" applyAlignment="1">
      <alignment horizontal="justify" vertical="center" wrapText="1"/>
    </xf>
    <xf numFmtId="0" fontId="15" fillId="0" borderId="44" xfId="0" applyFont="1" applyBorder="1" applyAlignment="1">
      <alignment horizontal="justify" vertical="center" wrapText="1"/>
    </xf>
  </cellXfs>
  <cellStyles count="12">
    <cellStyle name="Hiperlink" xfId="2" builtinId="8"/>
    <cellStyle name="Moeda" xfId="1" builtinId="4"/>
    <cellStyle name="Moeda 2" xfId="6" xr:uid="{8F5ABD64-B4CF-4ACA-B64F-22FDC6AFBEE3}"/>
    <cellStyle name="Normal" xfId="0" builtinId="0"/>
    <cellStyle name="Normal 2" xfId="5" xr:uid="{11C7082B-99AB-4C84-B400-63F964E53491}"/>
    <cellStyle name="Normal 4" xfId="7" xr:uid="{8C2F4220-1C52-4ADC-B959-0CB5AF19B739}"/>
    <cellStyle name="Porcentagem" xfId="3" builtinId="5"/>
    <cellStyle name="Porcentagem 2" xfId="9" xr:uid="{65861135-5207-4F06-AA25-44E801AFEE03}"/>
    <cellStyle name="Porcentagem 3" xfId="11" xr:uid="{F1C62ECA-0FA0-414A-95CC-DDBB4A704D8B}"/>
    <cellStyle name="Vírgula" xfId="4" builtinId="3"/>
    <cellStyle name="Vírgula 2" xfId="8" xr:uid="{583C4F21-F8C9-413F-84C5-9BEF66D79718}"/>
    <cellStyle name="Vírgula 3" xfId="10" xr:uid="{54ABE186-5A0A-47D6-A0B3-2339998F4B5D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 patternType="none">
          <bgColor indexed="6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154782</xdr:colOff>
      <xdr:row>1</xdr:row>
      <xdr:rowOff>215395</xdr:rowOff>
    </xdr:from>
    <xdr:to>
      <xdr:col>0</xdr:col>
      <xdr:colOff>1458138</xdr:colOff>
      <xdr:row>3</xdr:row>
      <xdr:rowOff>304459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54782" y="417801"/>
          <a:ext cx="1303356" cy="83235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141578</xdr:colOff>
      <xdr:row>1</xdr:row>
      <xdr:rowOff>86591</xdr:rowOff>
    </xdr:from>
    <xdr:to>
      <xdr:col>0</xdr:col>
      <xdr:colOff>1692325</xdr:colOff>
      <xdr:row>4</xdr:row>
      <xdr:rowOff>49790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141578" y="294409"/>
          <a:ext cx="1550747" cy="103692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BINETE\Users\RJ%20Morais%20Engenharia%20e%20Empreendimentos\LICITA&#199;&#213;ES\Cedro%20do%20abaet&#233;%20CREDENCIAMENTO\PLANILHA%20OR&#199;AMENT&#193;RIA%20-%20PROJETOS%20EXT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GERAL"/>
      <sheetName val="COMPOSIÇÃO BDI"/>
    </sheetNames>
    <sheetDataSet>
      <sheetData sheetId="0">
        <row r="3">
          <cell r="A3" t="str">
            <v xml:space="preserve">OBJETO: Contratação eventual e futura de empresa especializada para prestação de serviços de elaboração de Projetos Complementares, Planilhas Orçamentárias e Memoriais Descritivos, atendendo às necessidades da Secretaria de Obras deste Município. 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J87"/>
  <sheetViews>
    <sheetView tabSelected="1" view="pageBreakPreview" topLeftCell="A73" zoomScale="70" zoomScaleNormal="100" zoomScaleSheetLayoutView="70" workbookViewId="0">
      <selection activeCell="G73" sqref="G73"/>
    </sheetView>
  </sheetViews>
  <sheetFormatPr defaultColWidth="9.140625" defaultRowHeight="15.75" x14ac:dyDescent="0.25"/>
  <cols>
    <col min="1" max="1" width="24.28515625" style="103" customWidth="1"/>
    <col min="2" max="2" width="11.85546875" style="62" bestFit="1" customWidth="1"/>
    <col min="3" max="3" width="6.7109375" style="62" bestFit="1" customWidth="1"/>
    <col min="4" max="4" width="113.140625" style="62" customWidth="1"/>
    <col min="5" max="5" width="5.5703125" style="62" bestFit="1" customWidth="1"/>
    <col min="6" max="6" width="10" style="62" bestFit="1" customWidth="1"/>
    <col min="7" max="7" width="11.7109375" style="62" bestFit="1" customWidth="1"/>
    <col min="8" max="8" width="16.42578125" style="62" bestFit="1" customWidth="1"/>
    <col min="9" max="9" width="15.28515625" style="62" customWidth="1"/>
    <col min="10" max="10" width="17.7109375" style="62" customWidth="1"/>
    <col min="11" max="16384" width="9.140625" style="62"/>
  </cols>
  <sheetData>
    <row r="1" spans="1:10" x14ac:dyDescent="0.25">
      <c r="A1" s="196"/>
      <c r="B1" s="213" t="s">
        <v>7</v>
      </c>
      <c r="C1" s="213"/>
      <c r="D1" s="213"/>
      <c r="E1" s="213"/>
      <c r="F1" s="213"/>
      <c r="G1" s="214"/>
      <c r="H1" s="201" t="s">
        <v>264</v>
      </c>
      <c r="I1" s="201"/>
      <c r="J1" s="202"/>
    </row>
    <row r="2" spans="1:10" ht="31.5" customHeight="1" x14ac:dyDescent="0.25">
      <c r="A2" s="197"/>
      <c r="B2" s="215"/>
      <c r="C2" s="215"/>
      <c r="D2" s="215"/>
      <c r="E2" s="215"/>
      <c r="F2" s="215"/>
      <c r="G2" s="216"/>
      <c r="H2" s="219" t="s">
        <v>190</v>
      </c>
      <c r="I2" s="220"/>
      <c r="J2" s="221"/>
    </row>
    <row r="3" spans="1:10" ht="27" customHeight="1" x14ac:dyDescent="0.25">
      <c r="A3" s="197"/>
      <c r="B3" s="217" t="s">
        <v>96</v>
      </c>
      <c r="C3" s="217"/>
      <c r="D3" s="218"/>
      <c r="E3" s="184" t="s">
        <v>9</v>
      </c>
      <c r="F3" s="185"/>
      <c r="G3" s="186"/>
      <c r="H3" s="182" t="s">
        <v>21</v>
      </c>
      <c r="I3" s="183"/>
      <c r="J3" s="78">
        <f>BDI!I7</f>
        <v>0.24652398296774192</v>
      </c>
    </row>
    <row r="4" spans="1:10" ht="27" customHeight="1" x14ac:dyDescent="0.25">
      <c r="A4" s="197"/>
      <c r="B4" s="209" t="s">
        <v>97</v>
      </c>
      <c r="C4" s="209"/>
      <c r="D4" s="210"/>
      <c r="E4" s="187"/>
      <c r="F4" s="188"/>
      <c r="G4" s="189"/>
      <c r="H4" s="206" t="s">
        <v>93</v>
      </c>
      <c r="I4" s="207"/>
      <c r="J4" s="208"/>
    </row>
    <row r="5" spans="1:10" ht="28.5" customHeight="1" thickBot="1" x14ac:dyDescent="0.3">
      <c r="A5" s="198"/>
      <c r="B5" s="211" t="s">
        <v>36</v>
      </c>
      <c r="C5" s="211"/>
      <c r="D5" s="212"/>
      <c r="E5" s="190"/>
      <c r="F5" s="191"/>
      <c r="G5" s="192"/>
      <c r="H5" s="193" t="s">
        <v>8</v>
      </c>
      <c r="I5" s="194"/>
      <c r="J5" s="195"/>
    </row>
    <row r="6" spans="1:10" x14ac:dyDescent="0.25">
      <c r="A6" s="203"/>
      <c r="B6" s="199" t="s">
        <v>1</v>
      </c>
      <c r="C6" s="199" t="s">
        <v>2</v>
      </c>
      <c r="D6" s="199" t="s">
        <v>3</v>
      </c>
      <c r="E6" s="199" t="s">
        <v>0</v>
      </c>
      <c r="F6" s="204" t="s">
        <v>4</v>
      </c>
      <c r="G6" s="180" t="s">
        <v>5</v>
      </c>
      <c r="H6" s="181"/>
      <c r="I6" s="180" t="s">
        <v>83</v>
      </c>
      <c r="J6" s="181"/>
    </row>
    <row r="7" spans="1:10" ht="16.5" thickBot="1" x14ac:dyDescent="0.3">
      <c r="A7" s="203"/>
      <c r="B7" s="200"/>
      <c r="C7" s="200"/>
      <c r="D7" s="200"/>
      <c r="E7" s="200"/>
      <c r="F7" s="205"/>
      <c r="G7" s="79" t="s">
        <v>94</v>
      </c>
      <c r="H7" s="80" t="s">
        <v>6</v>
      </c>
      <c r="I7" s="79" t="s">
        <v>94</v>
      </c>
      <c r="J7" s="80" t="s">
        <v>6</v>
      </c>
    </row>
    <row r="8" spans="1:10" s="85" customFormat="1" ht="16.5" thickBot="1" x14ac:dyDescent="0.25">
      <c r="A8" s="81">
        <v>1</v>
      </c>
      <c r="B8" s="156" t="s">
        <v>86</v>
      </c>
      <c r="C8" s="157"/>
      <c r="D8" s="157"/>
      <c r="E8" s="157"/>
      <c r="F8" s="157"/>
      <c r="G8" s="157"/>
      <c r="H8" s="82">
        <f>SUM(H9:H13)</f>
        <v>3669.1099999999997</v>
      </c>
      <c r="I8" s="83"/>
      <c r="J8" s="84">
        <f>SUM(J9:J13)</f>
        <v>4573.6336111467717</v>
      </c>
    </row>
    <row r="9" spans="1:10" s="85" customFormat="1" x14ac:dyDescent="0.2">
      <c r="A9" s="106" t="s">
        <v>89</v>
      </c>
      <c r="B9" s="107" t="s">
        <v>98</v>
      </c>
      <c r="C9" s="108" t="s">
        <v>19</v>
      </c>
      <c r="D9" s="109" t="s">
        <v>99</v>
      </c>
      <c r="E9" s="107" t="s">
        <v>29</v>
      </c>
      <c r="F9" s="110">
        <v>3</v>
      </c>
      <c r="G9" s="86">
        <v>399.27</v>
      </c>
      <c r="H9" s="87">
        <f t="shared" ref="H9:H11" si="0">F9*G9</f>
        <v>1197.81</v>
      </c>
      <c r="I9" s="88">
        <f>($G9*$J$3+$G9)</f>
        <v>497.69963067953029</v>
      </c>
      <c r="J9" s="89">
        <f>(F9*I9)</f>
        <v>1493.0988920385907</v>
      </c>
    </row>
    <row r="10" spans="1:10" s="85" customFormat="1" x14ac:dyDescent="0.2">
      <c r="A10" s="70" t="s">
        <v>33</v>
      </c>
      <c r="B10" s="71" t="s">
        <v>33</v>
      </c>
      <c r="C10" s="72" t="s">
        <v>35</v>
      </c>
      <c r="D10" s="111" t="s">
        <v>44</v>
      </c>
      <c r="E10" s="71" t="s">
        <v>34</v>
      </c>
      <c r="F10" s="112">
        <f>'memória de cálculo'!J10</f>
        <v>1</v>
      </c>
      <c r="G10" s="90">
        <v>262.55</v>
      </c>
      <c r="H10" s="91">
        <f t="shared" si="0"/>
        <v>262.55</v>
      </c>
      <c r="I10" s="92">
        <f t="shared" ref="I10:I13" si="1">($G10*$J$3+$G10)</f>
        <v>327.27487172818064</v>
      </c>
      <c r="J10" s="93">
        <f t="shared" ref="J10:J11" si="2">(F10*I10)</f>
        <v>327.27487172818064</v>
      </c>
    </row>
    <row r="11" spans="1:10" s="85" customFormat="1" x14ac:dyDescent="0.2">
      <c r="A11" s="70" t="s">
        <v>88</v>
      </c>
      <c r="B11" s="113" t="s">
        <v>85</v>
      </c>
      <c r="C11" s="67" t="s">
        <v>37</v>
      </c>
      <c r="D11" s="114" t="s">
        <v>84</v>
      </c>
      <c r="E11" s="66" t="s">
        <v>38</v>
      </c>
      <c r="F11" s="112">
        <f>'memória de cálculo'!J11</f>
        <v>1</v>
      </c>
      <c r="G11" s="94">
        <v>730</v>
      </c>
      <c r="H11" s="95">
        <f t="shared" si="0"/>
        <v>730</v>
      </c>
      <c r="I11" s="92">
        <f t="shared" si="1"/>
        <v>909.96250756645156</v>
      </c>
      <c r="J11" s="93">
        <f t="shared" si="2"/>
        <v>909.96250756645156</v>
      </c>
    </row>
    <row r="12" spans="1:10" s="85" customFormat="1" x14ac:dyDescent="0.2">
      <c r="A12" s="70" t="s">
        <v>89</v>
      </c>
      <c r="B12" s="113" t="s">
        <v>92</v>
      </c>
      <c r="C12" s="67" t="s">
        <v>39</v>
      </c>
      <c r="D12" s="114" t="s">
        <v>91</v>
      </c>
      <c r="E12" s="66" t="s">
        <v>38</v>
      </c>
      <c r="F12" s="112">
        <f>'memória de cálculo'!J12</f>
        <v>1</v>
      </c>
      <c r="G12" s="94">
        <v>680</v>
      </c>
      <c r="H12" s="95">
        <f t="shared" ref="H12" si="3">F12*G12</f>
        <v>680</v>
      </c>
      <c r="I12" s="92">
        <f t="shared" si="1"/>
        <v>847.63630841806457</v>
      </c>
      <c r="J12" s="93">
        <f t="shared" ref="J12" si="4">(F12*I12)</f>
        <v>847.63630841806457</v>
      </c>
    </row>
    <row r="13" spans="1:10" s="85" customFormat="1" ht="30.75" thickBot="1" x14ac:dyDescent="0.25">
      <c r="A13" s="70" t="s">
        <v>89</v>
      </c>
      <c r="B13" s="113">
        <v>10749</v>
      </c>
      <c r="C13" s="67" t="s">
        <v>90</v>
      </c>
      <c r="D13" s="114" t="s">
        <v>288</v>
      </c>
      <c r="E13" s="66" t="s">
        <v>250</v>
      </c>
      <c r="F13" s="112">
        <f>'memória de cálculo'!J13</f>
        <v>45</v>
      </c>
      <c r="G13" s="94">
        <v>17.75</v>
      </c>
      <c r="H13" s="95">
        <f t="shared" ref="H13" si="5">F13*G13</f>
        <v>798.75</v>
      </c>
      <c r="I13" s="92">
        <f t="shared" si="1"/>
        <v>22.12580069767742</v>
      </c>
      <c r="J13" s="93">
        <f t="shared" ref="J13" si="6">(F13*I13)</f>
        <v>995.66103139548386</v>
      </c>
    </row>
    <row r="14" spans="1:10" s="85" customFormat="1" ht="16.5" thickBot="1" x14ac:dyDescent="0.25">
      <c r="A14" s="81">
        <v>2</v>
      </c>
      <c r="B14" s="156" t="s">
        <v>249</v>
      </c>
      <c r="C14" s="157"/>
      <c r="D14" s="157"/>
      <c r="E14" s="157"/>
      <c r="F14" s="157"/>
      <c r="G14" s="157"/>
      <c r="H14" s="82">
        <f>SUM(H15:H21)</f>
        <v>9330.9012279999988</v>
      </c>
      <c r="I14" s="83"/>
      <c r="J14" s="97">
        <f>SUM(J15:J21)</f>
        <v>11631.192163405154</v>
      </c>
    </row>
    <row r="15" spans="1:10" s="85" customFormat="1" ht="30" x14ac:dyDescent="0.2">
      <c r="A15" s="65" t="s">
        <v>100</v>
      </c>
      <c r="B15" s="66">
        <v>97624</v>
      </c>
      <c r="C15" s="67" t="s">
        <v>191</v>
      </c>
      <c r="D15" s="130" t="s">
        <v>120</v>
      </c>
      <c r="E15" s="66" t="s">
        <v>102</v>
      </c>
      <c r="F15" s="112">
        <f>'memória de cálculo'!J15</f>
        <v>0.38610000000000011</v>
      </c>
      <c r="G15" s="98">
        <v>102.98</v>
      </c>
      <c r="H15" s="98">
        <f t="shared" ref="H15:H16" si="7">F15*G15</f>
        <v>39.76057800000001</v>
      </c>
      <c r="I15" s="98">
        <f t="shared" ref="I15:I41" si="8">($G15*$J$3+$G15)</f>
        <v>128.36703976601808</v>
      </c>
      <c r="J15" s="99">
        <f t="shared" ref="J15:J16" si="9">F15*I15</f>
        <v>49.562514053659598</v>
      </c>
    </row>
    <row r="16" spans="1:10" s="85" customFormat="1" ht="30" x14ac:dyDescent="0.2">
      <c r="A16" s="65" t="s">
        <v>100</v>
      </c>
      <c r="B16" s="66">
        <v>97633</v>
      </c>
      <c r="C16" s="67" t="s">
        <v>193</v>
      </c>
      <c r="D16" s="130" t="s">
        <v>139</v>
      </c>
      <c r="E16" s="66" t="s">
        <v>29</v>
      </c>
      <c r="F16" s="112">
        <f>'memória de cálculo'!J16</f>
        <v>4.5</v>
      </c>
      <c r="G16" s="98">
        <v>22.65</v>
      </c>
      <c r="H16" s="98">
        <f t="shared" si="7"/>
        <v>101.925</v>
      </c>
      <c r="I16" s="98">
        <f t="shared" si="8"/>
        <v>28.233768214219353</v>
      </c>
      <c r="J16" s="99">
        <f t="shared" si="9"/>
        <v>127.0519569639871</v>
      </c>
    </row>
    <row r="17" spans="1:10" s="85" customFormat="1" ht="30" x14ac:dyDescent="0.2">
      <c r="A17" s="65" t="s">
        <v>100</v>
      </c>
      <c r="B17" s="71">
        <v>104789</v>
      </c>
      <c r="C17" s="67" t="s">
        <v>194</v>
      </c>
      <c r="D17" s="130" t="s">
        <v>103</v>
      </c>
      <c r="E17" s="71" t="s">
        <v>102</v>
      </c>
      <c r="F17" s="112">
        <f>'memória de cálculo'!J17</f>
        <v>2.9249999999999998</v>
      </c>
      <c r="G17" s="92">
        <v>192.77</v>
      </c>
      <c r="H17" s="92">
        <f t="shared" ref="H17" si="10">F17*G17</f>
        <v>563.85225000000003</v>
      </c>
      <c r="I17" s="92">
        <f t="shared" si="8"/>
        <v>240.29242819669162</v>
      </c>
      <c r="J17" s="93">
        <f t="shared" ref="J17" si="11">F17*I17</f>
        <v>702.85535247532289</v>
      </c>
    </row>
    <row r="18" spans="1:10" s="85" customFormat="1" ht="30" x14ac:dyDescent="0.2">
      <c r="A18" s="65" t="s">
        <v>100</v>
      </c>
      <c r="B18" s="71">
        <v>96522</v>
      </c>
      <c r="C18" s="67" t="s">
        <v>195</v>
      </c>
      <c r="D18" s="130" t="s">
        <v>101</v>
      </c>
      <c r="E18" s="71" t="s">
        <v>102</v>
      </c>
      <c r="F18" s="112">
        <f>'memória de cálculo'!J18</f>
        <v>25.3</v>
      </c>
      <c r="G18" s="92">
        <v>138.01</v>
      </c>
      <c r="H18" s="92">
        <f t="shared" ref="H18:H26" si="12">F18*G18</f>
        <v>3491.6529999999998</v>
      </c>
      <c r="I18" s="92">
        <f t="shared" si="8"/>
        <v>172.03277488937806</v>
      </c>
      <c r="J18" s="93">
        <f t="shared" ref="J18:J26" si="13">F18*I18</f>
        <v>4352.429204701265</v>
      </c>
    </row>
    <row r="19" spans="1:10" s="85" customFormat="1" ht="30" x14ac:dyDescent="0.2">
      <c r="A19" s="65" t="s">
        <v>100</v>
      </c>
      <c r="B19" s="71">
        <v>101174</v>
      </c>
      <c r="C19" s="67" t="s">
        <v>196</v>
      </c>
      <c r="D19" s="130" t="s">
        <v>318</v>
      </c>
      <c r="E19" s="71" t="s">
        <v>28</v>
      </c>
      <c r="F19" s="112">
        <f>'memória de cálculo'!J19</f>
        <v>60</v>
      </c>
      <c r="G19" s="92">
        <v>85.37</v>
      </c>
      <c r="H19" s="92">
        <f t="shared" si="12"/>
        <v>5122.2000000000007</v>
      </c>
      <c r="I19" s="92">
        <f>($G19*$J$3+$G19)</f>
        <v>106.41575242595613</v>
      </c>
      <c r="J19" s="93">
        <f t="shared" si="13"/>
        <v>6384.9451455573681</v>
      </c>
    </row>
    <row r="20" spans="1:10" s="85" customFormat="1" ht="15" customHeight="1" x14ac:dyDescent="0.2">
      <c r="A20" s="122" t="s">
        <v>114</v>
      </c>
      <c r="B20" s="121" t="s">
        <v>122</v>
      </c>
      <c r="C20" s="67" t="s">
        <v>261</v>
      </c>
      <c r="D20" s="124" t="s">
        <v>129</v>
      </c>
      <c r="E20" s="120" t="s">
        <v>29</v>
      </c>
      <c r="F20" s="112">
        <f>'memória de cálculo'!J20</f>
        <v>0.96</v>
      </c>
      <c r="G20" s="128">
        <v>2.69</v>
      </c>
      <c r="H20" s="92">
        <f t="shared" si="12"/>
        <v>2.5823999999999998</v>
      </c>
      <c r="I20" s="92">
        <f t="shared" ref="I20:I21" si="14">($G20*$J$3+$G20)</f>
        <v>3.3531495141832259</v>
      </c>
      <c r="J20" s="93">
        <f t="shared" si="13"/>
        <v>3.2190235336158968</v>
      </c>
    </row>
    <row r="21" spans="1:10" s="85" customFormat="1" ht="15" customHeight="1" thickBot="1" x14ac:dyDescent="0.25">
      <c r="A21" s="145" t="s">
        <v>114</v>
      </c>
      <c r="B21" s="141" t="s">
        <v>259</v>
      </c>
      <c r="C21" s="67" t="s">
        <v>262</v>
      </c>
      <c r="D21" s="142" t="s">
        <v>260</v>
      </c>
      <c r="E21" s="120" t="s">
        <v>29</v>
      </c>
      <c r="F21" s="112">
        <f>'memória de cálculo'!J21</f>
        <v>0.6</v>
      </c>
      <c r="G21" s="146">
        <v>14.88</v>
      </c>
      <c r="H21" s="92">
        <f t="shared" si="12"/>
        <v>8.9280000000000008</v>
      </c>
      <c r="I21" s="116">
        <f t="shared" si="14"/>
        <v>18.548276866560002</v>
      </c>
      <c r="J21" s="93">
        <f t="shared" si="13"/>
        <v>11.128966119936001</v>
      </c>
    </row>
    <row r="22" spans="1:10" s="85" customFormat="1" ht="16.5" thickBot="1" x14ac:dyDescent="0.25">
      <c r="A22" s="81">
        <v>3</v>
      </c>
      <c r="B22" s="156" t="s">
        <v>116</v>
      </c>
      <c r="C22" s="157"/>
      <c r="D22" s="157"/>
      <c r="E22" s="157"/>
      <c r="F22" s="157"/>
      <c r="G22" s="157"/>
      <c r="H22" s="82">
        <f>SUM(H23:H32)</f>
        <v>10927.72695</v>
      </c>
      <c r="I22" s="83"/>
      <c r="J22" s="97">
        <f>SUM(J23:J32)</f>
        <v>13621.673722497935</v>
      </c>
    </row>
    <row r="23" spans="1:10" s="85" customFormat="1" x14ac:dyDescent="0.2">
      <c r="A23" s="65" t="s">
        <v>100</v>
      </c>
      <c r="B23" s="71">
        <v>92800</v>
      </c>
      <c r="C23" s="67" t="s">
        <v>121</v>
      </c>
      <c r="D23" s="130" t="s">
        <v>104</v>
      </c>
      <c r="E23" s="71" t="s">
        <v>111</v>
      </c>
      <c r="F23" s="112">
        <f>'memória de cálculo'!J23</f>
        <v>10</v>
      </c>
      <c r="G23" s="92">
        <v>9.2799999999999994</v>
      </c>
      <c r="H23" s="92">
        <f t="shared" si="12"/>
        <v>92.8</v>
      </c>
      <c r="I23" s="92">
        <f t="shared" ref="I23:I26" si="15">($G23*$J$3+$G23)</f>
        <v>11.567742561940644</v>
      </c>
      <c r="J23" s="93">
        <f t="shared" si="13"/>
        <v>115.67742561940645</v>
      </c>
    </row>
    <row r="24" spans="1:10" s="85" customFormat="1" x14ac:dyDescent="0.2">
      <c r="A24" s="65" t="s">
        <v>100</v>
      </c>
      <c r="B24" s="71">
        <v>92801</v>
      </c>
      <c r="C24" s="67" t="s">
        <v>192</v>
      </c>
      <c r="D24" s="130" t="s">
        <v>105</v>
      </c>
      <c r="E24" s="71" t="s">
        <v>111</v>
      </c>
      <c r="F24" s="112">
        <f>'memória de cálculo'!J24</f>
        <v>41</v>
      </c>
      <c r="G24" s="92">
        <v>9.2799999999999994</v>
      </c>
      <c r="H24" s="92">
        <f t="shared" si="12"/>
        <v>380.47999999999996</v>
      </c>
      <c r="I24" s="92">
        <f t="shared" si="15"/>
        <v>11.567742561940644</v>
      </c>
      <c r="J24" s="93">
        <f t="shared" si="13"/>
        <v>474.27744503956643</v>
      </c>
    </row>
    <row r="25" spans="1:10" s="85" customFormat="1" x14ac:dyDescent="0.2">
      <c r="A25" s="65" t="s">
        <v>100</v>
      </c>
      <c r="B25" s="71">
        <v>92802</v>
      </c>
      <c r="C25" s="67" t="s">
        <v>197</v>
      </c>
      <c r="D25" s="130" t="s">
        <v>106</v>
      </c>
      <c r="E25" s="71" t="s">
        <v>111</v>
      </c>
      <c r="F25" s="112">
        <f>'memória de cálculo'!J25</f>
        <v>17</v>
      </c>
      <c r="G25" s="92">
        <v>9.16</v>
      </c>
      <c r="H25" s="92">
        <f t="shared" si="12"/>
        <v>155.72</v>
      </c>
      <c r="I25" s="92">
        <f t="shared" si="15"/>
        <v>11.418159683984516</v>
      </c>
      <c r="J25" s="93">
        <f t="shared" si="13"/>
        <v>194.10871462773679</v>
      </c>
    </row>
    <row r="26" spans="1:10" s="85" customFormat="1" x14ac:dyDescent="0.2">
      <c r="A26" s="65" t="s">
        <v>100</v>
      </c>
      <c r="B26" s="71">
        <v>92803</v>
      </c>
      <c r="C26" s="67" t="s">
        <v>198</v>
      </c>
      <c r="D26" s="130" t="s">
        <v>107</v>
      </c>
      <c r="E26" s="71" t="s">
        <v>111</v>
      </c>
      <c r="F26" s="112">
        <f>'memória de cálculo'!J26</f>
        <v>149</v>
      </c>
      <c r="G26" s="92">
        <v>8.43</v>
      </c>
      <c r="H26" s="92">
        <f t="shared" si="12"/>
        <v>1256.07</v>
      </c>
      <c r="I26" s="92">
        <f t="shared" si="15"/>
        <v>10.508197176418065</v>
      </c>
      <c r="J26" s="93">
        <f t="shared" si="13"/>
        <v>1565.7213792862917</v>
      </c>
    </row>
    <row r="27" spans="1:10" s="85" customFormat="1" x14ac:dyDescent="0.2">
      <c r="A27" s="65" t="s">
        <v>100</v>
      </c>
      <c r="B27" s="71">
        <v>92804</v>
      </c>
      <c r="C27" s="67" t="s">
        <v>199</v>
      </c>
      <c r="D27" s="130" t="s">
        <v>108</v>
      </c>
      <c r="E27" s="71" t="s">
        <v>111</v>
      </c>
      <c r="F27" s="112">
        <f>'memória de cálculo'!J27</f>
        <v>270</v>
      </c>
      <c r="G27" s="92">
        <v>7.22</v>
      </c>
      <c r="H27" s="92">
        <f t="shared" ref="H27:H29" si="16">F27*G27</f>
        <v>1949.3999999999999</v>
      </c>
      <c r="I27" s="92">
        <f t="shared" si="8"/>
        <v>8.9999031570270969</v>
      </c>
      <c r="J27" s="93">
        <f t="shared" ref="J27:J29" si="17">F27*I27</f>
        <v>2429.973852397316</v>
      </c>
    </row>
    <row r="28" spans="1:10" s="85" customFormat="1" ht="30" x14ac:dyDescent="0.2">
      <c r="A28" s="65" t="s">
        <v>100</v>
      </c>
      <c r="B28" s="71">
        <v>101619</v>
      </c>
      <c r="C28" s="67" t="s">
        <v>200</v>
      </c>
      <c r="D28" s="130" t="s">
        <v>110</v>
      </c>
      <c r="E28" s="71" t="s">
        <v>102</v>
      </c>
      <c r="F28" s="112">
        <f>'memória de cálculo'!J28</f>
        <v>0.35</v>
      </c>
      <c r="G28" s="92">
        <v>314.04000000000002</v>
      </c>
      <c r="H28" s="92">
        <f t="shared" si="16"/>
        <v>109.914</v>
      </c>
      <c r="I28" s="92">
        <f t="shared" si="8"/>
        <v>391.45839161118971</v>
      </c>
      <c r="J28" s="93">
        <f t="shared" si="17"/>
        <v>137.01043706391638</v>
      </c>
    </row>
    <row r="29" spans="1:10" s="85" customFormat="1" ht="30" x14ac:dyDescent="0.2">
      <c r="A29" s="65" t="s">
        <v>100</v>
      </c>
      <c r="B29" s="71">
        <v>96619</v>
      </c>
      <c r="C29" s="67" t="s">
        <v>201</v>
      </c>
      <c r="D29" s="130" t="s">
        <v>112</v>
      </c>
      <c r="E29" s="71" t="s">
        <v>29</v>
      </c>
      <c r="F29" s="112">
        <f>'memória de cálculo'!J29</f>
        <v>7</v>
      </c>
      <c r="G29" s="92">
        <v>41.49</v>
      </c>
      <c r="H29" s="92">
        <f t="shared" si="16"/>
        <v>290.43</v>
      </c>
      <c r="I29" s="92">
        <f t="shared" si="8"/>
        <v>51.718280053331611</v>
      </c>
      <c r="J29" s="93">
        <f t="shared" si="17"/>
        <v>362.02796037332126</v>
      </c>
    </row>
    <row r="30" spans="1:10" s="85" customFormat="1" ht="30" x14ac:dyDescent="0.2">
      <c r="A30" s="65" t="s">
        <v>114</v>
      </c>
      <c r="B30" s="71" t="s">
        <v>113</v>
      </c>
      <c r="C30" s="67" t="s">
        <v>202</v>
      </c>
      <c r="D30" s="130" t="s">
        <v>157</v>
      </c>
      <c r="E30" s="71" t="s">
        <v>102</v>
      </c>
      <c r="F30" s="112">
        <f>'memória de cálculo'!J30</f>
        <v>5.6499999999999995</v>
      </c>
      <c r="G30" s="92">
        <v>775.96</v>
      </c>
      <c r="H30" s="92">
        <f t="shared" ref="H30:H34" si="18">F30*G30</f>
        <v>4384.174</v>
      </c>
      <c r="I30" s="92">
        <f t="shared" si="8"/>
        <v>967.25274982364908</v>
      </c>
      <c r="J30" s="93">
        <f t="shared" ref="J30:J34" si="19">F30*I30</f>
        <v>5464.9780365036167</v>
      </c>
    </row>
    <row r="31" spans="1:10" s="85" customFormat="1" x14ac:dyDescent="0.2">
      <c r="A31" s="65" t="s">
        <v>114</v>
      </c>
      <c r="B31" s="71">
        <v>104737</v>
      </c>
      <c r="C31" s="67" t="s">
        <v>203</v>
      </c>
      <c r="D31" s="130" t="s">
        <v>118</v>
      </c>
      <c r="E31" s="71" t="s">
        <v>102</v>
      </c>
      <c r="F31" s="112">
        <f>'memória de cálculo'!J31</f>
        <v>1.895</v>
      </c>
      <c r="G31" s="116">
        <v>20.61</v>
      </c>
      <c r="H31" s="92">
        <f t="shared" si="18"/>
        <v>39.055950000000003</v>
      </c>
      <c r="I31" s="92">
        <f t="shared" si="8"/>
        <v>25.690859288965161</v>
      </c>
      <c r="J31" s="93">
        <f t="shared" si="19"/>
        <v>48.68417835258898</v>
      </c>
    </row>
    <row r="32" spans="1:10" s="85" customFormat="1" ht="30.75" thickBot="1" x14ac:dyDescent="0.25">
      <c r="A32" s="65" t="s">
        <v>114</v>
      </c>
      <c r="B32" s="71" t="s">
        <v>113</v>
      </c>
      <c r="C32" s="67" t="s">
        <v>204</v>
      </c>
      <c r="D32" s="130" t="s">
        <v>119</v>
      </c>
      <c r="E32" s="71" t="s">
        <v>102</v>
      </c>
      <c r="F32" s="112">
        <f>'memória de cálculo'!J32</f>
        <v>2.9249999999999998</v>
      </c>
      <c r="G32" s="92">
        <v>775.96</v>
      </c>
      <c r="H32" s="92">
        <f t="shared" ref="H32" si="20">F32*G32</f>
        <v>2269.683</v>
      </c>
      <c r="I32" s="92">
        <f t="shared" si="8"/>
        <v>967.25274982364908</v>
      </c>
      <c r="J32" s="93">
        <f t="shared" ref="J32" si="21">F32*I32</f>
        <v>2829.2142932341735</v>
      </c>
    </row>
    <row r="33" spans="1:10" s="85" customFormat="1" ht="16.5" thickBot="1" x14ac:dyDescent="0.25">
      <c r="A33" s="81">
        <v>4</v>
      </c>
      <c r="B33" s="156" t="s">
        <v>117</v>
      </c>
      <c r="C33" s="157"/>
      <c r="D33" s="157"/>
      <c r="E33" s="157"/>
      <c r="F33" s="157"/>
      <c r="G33" s="157"/>
      <c r="H33" s="82">
        <f>SUM(H34:H41)</f>
        <v>53919.794720000005</v>
      </c>
      <c r="I33" s="83"/>
      <c r="J33" s="97">
        <f>SUM(J34:J41)</f>
        <v>67212.317275177411</v>
      </c>
    </row>
    <row r="34" spans="1:10" s="85" customFormat="1" ht="45" x14ac:dyDescent="0.2">
      <c r="A34" s="65" t="s">
        <v>175</v>
      </c>
      <c r="B34" s="71" t="s">
        <v>174</v>
      </c>
      <c r="C34" s="67" t="s">
        <v>205</v>
      </c>
      <c r="D34" s="130" t="s">
        <v>179</v>
      </c>
      <c r="E34" s="71" t="s">
        <v>169</v>
      </c>
      <c r="F34" s="112">
        <f>'memória de cálculo'!J34</f>
        <v>239.50999999999996</v>
      </c>
      <c r="G34" s="92">
        <v>26.36</v>
      </c>
      <c r="H34" s="92">
        <f t="shared" si="18"/>
        <v>6313.4835999999987</v>
      </c>
      <c r="I34" s="92">
        <f t="shared" si="8"/>
        <v>32.858372191029673</v>
      </c>
      <c r="J34" s="93">
        <f t="shared" si="19"/>
        <v>7869.9087234735161</v>
      </c>
    </row>
    <row r="35" spans="1:10" s="85" customFormat="1" x14ac:dyDescent="0.2">
      <c r="A35" s="65" t="s">
        <v>100</v>
      </c>
      <c r="B35" s="71">
        <v>43082</v>
      </c>
      <c r="C35" s="67" t="s">
        <v>206</v>
      </c>
      <c r="D35" s="130" t="s">
        <v>168</v>
      </c>
      <c r="E35" s="71" t="s">
        <v>169</v>
      </c>
      <c r="F35" s="112">
        <f>'memória de cálculo'!J35</f>
        <v>2755.6239999999998</v>
      </c>
      <c r="G35" s="92">
        <v>8.39</v>
      </c>
      <c r="H35" s="92">
        <f t="shared" ref="H35" si="22">F35*G35</f>
        <v>23119.685359999999</v>
      </c>
      <c r="I35" s="92">
        <f t="shared" si="8"/>
        <v>10.458336217099355</v>
      </c>
      <c r="J35" s="93">
        <f t="shared" ref="J35" si="23">F35*I35</f>
        <v>28819.242279908191</v>
      </c>
    </row>
    <row r="36" spans="1:10" s="85" customFormat="1" ht="45" x14ac:dyDescent="0.2">
      <c r="A36" s="65" t="s">
        <v>175</v>
      </c>
      <c r="B36" s="71" t="s">
        <v>174</v>
      </c>
      <c r="C36" s="67" t="s">
        <v>207</v>
      </c>
      <c r="D36" s="130" t="s">
        <v>179</v>
      </c>
      <c r="E36" s="71" t="s">
        <v>169</v>
      </c>
      <c r="F36" s="112">
        <f>'memória de cálculo'!J36</f>
        <v>52.740000000000009</v>
      </c>
      <c r="G36" s="92">
        <v>26.36</v>
      </c>
      <c r="H36" s="92">
        <f t="shared" ref="H36:H40" si="24">F36*G36</f>
        <v>1390.2264000000002</v>
      </c>
      <c r="I36" s="92">
        <f t="shared" si="8"/>
        <v>32.858372191029673</v>
      </c>
      <c r="J36" s="93">
        <f t="shared" ref="J36:J40" si="25">F36*I36</f>
        <v>1732.9505493549052</v>
      </c>
    </row>
    <row r="37" spans="1:10" s="85" customFormat="1" ht="30" x14ac:dyDescent="0.2">
      <c r="A37" s="65" t="s">
        <v>100</v>
      </c>
      <c r="B37" s="71">
        <v>11790</v>
      </c>
      <c r="C37" s="67" t="s">
        <v>208</v>
      </c>
      <c r="D37" s="130" t="s">
        <v>170</v>
      </c>
      <c r="E37" s="71" t="s">
        <v>167</v>
      </c>
      <c r="F37" s="112">
        <f>'memória de cálculo'!J37</f>
        <v>49</v>
      </c>
      <c r="G37" s="92">
        <v>32.159999999999997</v>
      </c>
      <c r="H37" s="92">
        <f t="shared" si="24"/>
        <v>1575.84</v>
      </c>
      <c r="I37" s="92">
        <f t="shared" si="8"/>
        <v>40.088211292242576</v>
      </c>
      <c r="J37" s="93">
        <f t="shared" si="25"/>
        <v>1964.3223533198861</v>
      </c>
    </row>
    <row r="38" spans="1:10" s="85" customFormat="1" ht="30" x14ac:dyDescent="0.2">
      <c r="A38" s="65" t="s">
        <v>100</v>
      </c>
      <c r="B38" s="71">
        <v>428</v>
      </c>
      <c r="C38" s="67" t="s">
        <v>209</v>
      </c>
      <c r="D38" s="130" t="s">
        <v>166</v>
      </c>
      <c r="E38" s="71" t="s">
        <v>167</v>
      </c>
      <c r="F38" s="112">
        <f>'memória de cálculo'!J38</f>
        <v>300</v>
      </c>
      <c r="G38" s="92">
        <v>34.97</v>
      </c>
      <c r="H38" s="92">
        <f t="shared" si="24"/>
        <v>10491</v>
      </c>
      <c r="I38" s="92">
        <f t="shared" si="8"/>
        <v>43.590943684381934</v>
      </c>
      <c r="J38" s="93">
        <f t="shared" si="25"/>
        <v>13077.28310531458</v>
      </c>
    </row>
    <row r="39" spans="1:10" s="85" customFormat="1" ht="15" customHeight="1" x14ac:dyDescent="0.2">
      <c r="A39" s="65" t="s">
        <v>100</v>
      </c>
      <c r="B39" s="71">
        <v>4340</v>
      </c>
      <c r="C39" s="67" t="s">
        <v>210</v>
      </c>
      <c r="D39" s="130" t="s">
        <v>115</v>
      </c>
      <c r="E39" s="71" t="s">
        <v>0</v>
      </c>
      <c r="F39" s="112">
        <f>'memória de cálculo'!J39</f>
        <v>178</v>
      </c>
      <c r="G39" s="92">
        <v>1.61</v>
      </c>
      <c r="H39" s="92">
        <f t="shared" si="24"/>
        <v>286.58000000000004</v>
      </c>
      <c r="I39" s="92">
        <f t="shared" si="8"/>
        <v>2.0069036125780646</v>
      </c>
      <c r="J39" s="93">
        <f t="shared" si="25"/>
        <v>357.22884303889549</v>
      </c>
    </row>
    <row r="40" spans="1:10" s="85" customFormat="1" ht="30" x14ac:dyDescent="0.2">
      <c r="A40" s="65" t="s">
        <v>100</v>
      </c>
      <c r="B40" s="71">
        <v>11267</v>
      </c>
      <c r="C40" s="67" t="s">
        <v>211</v>
      </c>
      <c r="D40" s="130" t="s">
        <v>173</v>
      </c>
      <c r="E40" s="71" t="s">
        <v>0</v>
      </c>
      <c r="F40" s="112">
        <f>'memória de cálculo'!J40</f>
        <v>356</v>
      </c>
      <c r="G40" s="92">
        <v>1.43</v>
      </c>
      <c r="H40" s="92">
        <f t="shared" si="24"/>
        <v>509.08</v>
      </c>
      <c r="I40" s="92">
        <f t="shared" si="8"/>
        <v>1.782529295643871</v>
      </c>
      <c r="J40" s="93">
        <f t="shared" si="25"/>
        <v>634.58042924921801</v>
      </c>
    </row>
    <row r="41" spans="1:10" s="85" customFormat="1" ht="15" customHeight="1" thickBot="1" x14ac:dyDescent="0.25">
      <c r="A41" s="65" t="s">
        <v>100</v>
      </c>
      <c r="B41" s="71">
        <v>98746</v>
      </c>
      <c r="C41" s="67" t="s">
        <v>212</v>
      </c>
      <c r="D41" s="130" t="s">
        <v>178</v>
      </c>
      <c r="E41" s="71" t="s">
        <v>28</v>
      </c>
      <c r="F41" s="112">
        <f>'memória de cálculo'!J41</f>
        <v>120.08799999999999</v>
      </c>
      <c r="G41" s="92">
        <v>85.22</v>
      </c>
      <c r="H41" s="92">
        <f t="shared" ref="H41" si="26">F41*G41</f>
        <v>10233.899359999999</v>
      </c>
      <c r="I41" s="92">
        <f t="shared" si="8"/>
        <v>106.22877382851097</v>
      </c>
      <c r="J41" s="93">
        <f t="shared" ref="J41" si="27">F41*I41</f>
        <v>12756.800991518225</v>
      </c>
    </row>
    <row r="42" spans="1:10" s="85" customFormat="1" ht="16.5" thickBot="1" x14ac:dyDescent="0.3">
      <c r="A42" s="81">
        <v>5</v>
      </c>
      <c r="B42" s="156" t="s">
        <v>109</v>
      </c>
      <c r="C42" s="157"/>
      <c r="D42" s="157"/>
      <c r="E42" s="157"/>
      <c r="F42" s="157"/>
      <c r="G42" s="157"/>
      <c r="H42" s="140">
        <f>SUM(H43,H47,H52,H54,H56,H63,H66,H70)</f>
        <v>29711.726878000001</v>
      </c>
      <c r="I42" s="83"/>
      <c r="J42" s="140">
        <f>SUM(J43,J47,J52,J54,J56,J63,J66,J70)</f>
        <v>37036.380128814271</v>
      </c>
    </row>
    <row r="43" spans="1:10" s="85" customFormat="1" ht="16.5" thickBot="1" x14ac:dyDescent="0.25">
      <c r="A43" s="117" t="s">
        <v>213</v>
      </c>
      <c r="B43" s="153" t="s">
        <v>227</v>
      </c>
      <c r="C43" s="154"/>
      <c r="D43" s="154"/>
      <c r="E43" s="154"/>
      <c r="F43" s="154"/>
      <c r="G43" s="155"/>
      <c r="H43" s="118">
        <f>SUM(H44:H46)</f>
        <v>490.1418000000001</v>
      </c>
      <c r="I43" s="119"/>
      <c r="J43" s="118">
        <f>SUM(J44:J46)</f>
        <v>610.97350875497852</v>
      </c>
    </row>
    <row r="44" spans="1:10" s="85" customFormat="1" ht="30" x14ac:dyDescent="0.2">
      <c r="A44" s="125" t="s">
        <v>175</v>
      </c>
      <c r="B44" s="120" t="s">
        <v>228</v>
      </c>
      <c r="C44" s="123" t="s">
        <v>214</v>
      </c>
      <c r="D44" s="126" t="s">
        <v>229</v>
      </c>
      <c r="E44" s="120" t="s">
        <v>29</v>
      </c>
      <c r="F44" s="112">
        <f>'memória de cálculo'!J44</f>
        <v>2.9700000000000006</v>
      </c>
      <c r="G44" s="127">
        <v>67.680000000000007</v>
      </c>
      <c r="H44" s="92">
        <f t="shared" ref="H44:H46" si="28">F44*G44</f>
        <v>201.00960000000006</v>
      </c>
      <c r="I44" s="92">
        <f t="shared" ref="I44:I46" si="29">($G44*$J$3+$G44)</f>
        <v>84.364743167256776</v>
      </c>
      <c r="J44" s="93">
        <f t="shared" ref="J44:J46" si="30">F44*I44</f>
        <v>250.56328720675268</v>
      </c>
    </row>
    <row r="45" spans="1:10" s="85" customFormat="1" ht="15" customHeight="1" x14ac:dyDescent="0.2">
      <c r="A45" s="122" t="s">
        <v>114</v>
      </c>
      <c r="B45" s="120" t="s">
        <v>123</v>
      </c>
      <c r="C45" s="123" t="s">
        <v>215</v>
      </c>
      <c r="D45" s="126" t="s">
        <v>124</v>
      </c>
      <c r="E45" s="120" t="s">
        <v>29</v>
      </c>
      <c r="F45" s="112">
        <f>'memória de cálculo'!J45</f>
        <v>5.9400000000000013</v>
      </c>
      <c r="G45" s="127">
        <v>8.4700000000000006</v>
      </c>
      <c r="H45" s="92">
        <f t="shared" si="28"/>
        <v>50.311800000000012</v>
      </c>
      <c r="I45" s="92">
        <f t="shared" si="29"/>
        <v>10.558058135736776</v>
      </c>
      <c r="J45" s="93">
        <f t="shared" si="30"/>
        <v>62.71486532627646</v>
      </c>
    </row>
    <row r="46" spans="1:10" s="85" customFormat="1" ht="15" customHeight="1" thickBot="1" x14ac:dyDescent="0.25">
      <c r="A46" s="122" t="s">
        <v>114</v>
      </c>
      <c r="B46" s="120" t="s">
        <v>125</v>
      </c>
      <c r="C46" s="123" t="s">
        <v>216</v>
      </c>
      <c r="D46" s="126" t="s">
        <v>126</v>
      </c>
      <c r="E46" s="120" t="s">
        <v>29</v>
      </c>
      <c r="F46" s="112">
        <f>'memória de cálculo'!J46</f>
        <v>6.142500000000001</v>
      </c>
      <c r="G46" s="127">
        <v>38.880000000000003</v>
      </c>
      <c r="H46" s="92">
        <f t="shared" si="28"/>
        <v>238.82040000000006</v>
      </c>
      <c r="I46" s="92">
        <f t="shared" si="29"/>
        <v>48.46485245778581</v>
      </c>
      <c r="J46" s="93">
        <f t="shared" si="30"/>
        <v>297.6953562219494</v>
      </c>
    </row>
    <row r="47" spans="1:10" s="85" customFormat="1" ht="16.5" thickBot="1" x14ac:dyDescent="0.25">
      <c r="A47" s="117" t="s">
        <v>226</v>
      </c>
      <c r="B47" s="153" t="s">
        <v>128</v>
      </c>
      <c r="C47" s="154"/>
      <c r="D47" s="154"/>
      <c r="E47" s="154"/>
      <c r="F47" s="154"/>
      <c r="G47" s="155"/>
      <c r="H47" s="118">
        <f>SUM(H48:H51)</f>
        <v>4158.2160000000003</v>
      </c>
      <c r="I47" s="119"/>
      <c r="J47" s="118">
        <f>SUM(J48:J51)</f>
        <v>5183.3159703601923</v>
      </c>
    </row>
    <row r="48" spans="1:10" s="85" customFormat="1" ht="15" customHeight="1" x14ac:dyDescent="0.2">
      <c r="A48" s="122" t="s">
        <v>114</v>
      </c>
      <c r="B48" s="121" t="s">
        <v>122</v>
      </c>
      <c r="C48" s="123" t="s">
        <v>225</v>
      </c>
      <c r="D48" s="124" t="s">
        <v>129</v>
      </c>
      <c r="E48" s="120" t="s">
        <v>29</v>
      </c>
      <c r="F48" s="112">
        <f>'memória de cálculo'!J48</f>
        <v>72.900000000000006</v>
      </c>
      <c r="G48" s="128">
        <v>2.69</v>
      </c>
      <c r="H48" s="92">
        <f t="shared" ref="H48:H51" si="31">F48*G48</f>
        <v>196.101</v>
      </c>
      <c r="I48" s="92">
        <f t="shared" ref="I48:I51" si="32">($G48*$J$3+$G48)</f>
        <v>3.3531495141832259</v>
      </c>
      <c r="J48" s="93">
        <f t="shared" ref="J48:J55" si="33">F48*I48</f>
        <v>244.4445995839572</v>
      </c>
    </row>
    <row r="49" spans="1:10" s="85" customFormat="1" ht="30" x14ac:dyDescent="0.2">
      <c r="A49" s="125" t="s">
        <v>175</v>
      </c>
      <c r="B49" s="120" t="s">
        <v>176</v>
      </c>
      <c r="C49" s="123" t="s">
        <v>235</v>
      </c>
      <c r="D49" s="126" t="s">
        <v>177</v>
      </c>
      <c r="E49" s="120" t="s">
        <v>29</v>
      </c>
      <c r="F49" s="112">
        <f>'memória de cálculo'!J49</f>
        <v>16.2</v>
      </c>
      <c r="G49" s="127">
        <v>31.5</v>
      </c>
      <c r="H49" s="92">
        <f t="shared" si="31"/>
        <v>510.29999999999995</v>
      </c>
      <c r="I49" s="92">
        <f t="shared" si="32"/>
        <v>39.265505463483869</v>
      </c>
      <c r="J49" s="93">
        <f t="shared" si="33"/>
        <v>636.10118850843867</v>
      </c>
    </row>
    <row r="50" spans="1:10" s="85" customFormat="1" ht="15" customHeight="1" x14ac:dyDescent="0.2">
      <c r="A50" s="122" t="s">
        <v>114</v>
      </c>
      <c r="B50" s="120" t="s">
        <v>123</v>
      </c>
      <c r="C50" s="123" t="s">
        <v>236</v>
      </c>
      <c r="D50" s="126" t="s">
        <v>124</v>
      </c>
      <c r="E50" s="120" t="s">
        <v>29</v>
      </c>
      <c r="F50" s="112">
        <f>'memória de cálculo'!J50</f>
        <v>72.900000000000006</v>
      </c>
      <c r="G50" s="127">
        <v>8.4700000000000006</v>
      </c>
      <c r="H50" s="92">
        <f t="shared" si="31"/>
        <v>617.46300000000008</v>
      </c>
      <c r="I50" s="92">
        <f t="shared" si="32"/>
        <v>10.558058135736776</v>
      </c>
      <c r="J50" s="93">
        <f t="shared" si="33"/>
        <v>769.68243809521095</v>
      </c>
    </row>
    <row r="51" spans="1:10" s="85" customFormat="1" ht="15" customHeight="1" thickBot="1" x14ac:dyDescent="0.25">
      <c r="A51" s="122" t="s">
        <v>114</v>
      </c>
      <c r="B51" s="120" t="s">
        <v>125</v>
      </c>
      <c r="C51" s="123" t="s">
        <v>237</v>
      </c>
      <c r="D51" s="126" t="s">
        <v>126</v>
      </c>
      <c r="E51" s="120" t="s">
        <v>29</v>
      </c>
      <c r="F51" s="112">
        <f>'memória de cálculo'!J51</f>
        <v>72.900000000000006</v>
      </c>
      <c r="G51" s="127">
        <v>38.880000000000003</v>
      </c>
      <c r="H51" s="92">
        <f t="shared" si="31"/>
        <v>2834.3520000000003</v>
      </c>
      <c r="I51" s="92">
        <f t="shared" si="32"/>
        <v>48.46485245778581</v>
      </c>
      <c r="J51" s="93">
        <f t="shared" si="33"/>
        <v>3533.0877441725856</v>
      </c>
    </row>
    <row r="52" spans="1:10" s="85" customFormat="1" ht="16.5" thickBot="1" x14ac:dyDescent="0.25">
      <c r="A52" s="117" t="s">
        <v>217</v>
      </c>
      <c r="B52" s="153" t="s">
        <v>163</v>
      </c>
      <c r="C52" s="154"/>
      <c r="D52" s="154"/>
      <c r="E52" s="154"/>
      <c r="F52" s="154"/>
      <c r="G52" s="155"/>
      <c r="H52" s="118">
        <f>SUM(H53)</f>
        <v>971.62080000000003</v>
      </c>
      <c r="I52" s="119"/>
      <c r="J52" s="118">
        <f>SUM(J53)</f>
        <v>1211.1486295503037</v>
      </c>
    </row>
    <row r="53" spans="1:10" s="85" customFormat="1" ht="15" customHeight="1" thickBot="1" x14ac:dyDescent="0.25">
      <c r="A53" s="65" t="s">
        <v>100</v>
      </c>
      <c r="B53" s="131">
        <v>96123</v>
      </c>
      <c r="C53" s="144" t="s">
        <v>224</v>
      </c>
      <c r="D53" s="132" t="s">
        <v>127</v>
      </c>
      <c r="E53" s="133" t="s">
        <v>28</v>
      </c>
      <c r="F53" s="112">
        <f>'memória de cálculo'!J53</f>
        <v>34.08</v>
      </c>
      <c r="G53" s="134">
        <v>28.51</v>
      </c>
      <c r="H53" s="115">
        <f>F53*G53</f>
        <v>971.62080000000003</v>
      </c>
      <c r="I53" s="92">
        <f t="shared" ref="I53" si="34">($G53*$J$3+$G53)</f>
        <v>35.538398754410323</v>
      </c>
      <c r="J53" s="93">
        <f t="shared" si="33"/>
        <v>1211.1486295503037</v>
      </c>
    </row>
    <row r="54" spans="1:10" s="85" customFormat="1" ht="16.5" thickBot="1" x14ac:dyDescent="0.25">
      <c r="A54" s="117" t="s">
        <v>223</v>
      </c>
      <c r="B54" s="153" t="s">
        <v>130</v>
      </c>
      <c r="C54" s="154"/>
      <c r="D54" s="154"/>
      <c r="E54" s="154"/>
      <c r="F54" s="154"/>
      <c r="G54" s="155"/>
      <c r="H54" s="118">
        <f>SUM(H55)</f>
        <v>259.11</v>
      </c>
      <c r="I54" s="119"/>
      <c r="J54" s="118">
        <f>SUM(J55)</f>
        <v>322.98682922677159</v>
      </c>
    </row>
    <row r="55" spans="1:10" s="85" customFormat="1" ht="30.75" thickBot="1" x14ac:dyDescent="0.25">
      <c r="A55" s="65" t="s">
        <v>100</v>
      </c>
      <c r="B55" s="120">
        <v>87247</v>
      </c>
      <c r="C55" s="144" t="s">
        <v>222</v>
      </c>
      <c r="D55" s="126" t="s">
        <v>263</v>
      </c>
      <c r="E55" s="120" t="s">
        <v>29</v>
      </c>
      <c r="F55" s="112">
        <f>'memória de cálculo'!J55</f>
        <v>4.5</v>
      </c>
      <c r="G55" s="127">
        <v>57.58</v>
      </c>
      <c r="H55" s="115">
        <f>F55*G55</f>
        <v>259.11</v>
      </c>
      <c r="I55" s="92">
        <f t="shared" ref="I55" si="35">($G55*$J$3+$G55)</f>
        <v>71.774850939282572</v>
      </c>
      <c r="J55" s="93">
        <f t="shared" si="33"/>
        <v>322.98682922677159</v>
      </c>
    </row>
    <row r="56" spans="1:10" s="85" customFormat="1" ht="16.5" thickBot="1" x14ac:dyDescent="0.25">
      <c r="A56" s="117" t="s">
        <v>218</v>
      </c>
      <c r="B56" s="153" t="s">
        <v>131</v>
      </c>
      <c r="C56" s="154"/>
      <c r="D56" s="154"/>
      <c r="E56" s="154"/>
      <c r="F56" s="154"/>
      <c r="G56" s="155"/>
      <c r="H56" s="118">
        <f>SUM(H57:H62)</f>
        <v>8720.5924899999991</v>
      </c>
      <c r="I56" s="119"/>
      <c r="J56" s="118">
        <f>SUM(J57:J62)</f>
        <v>10870.427684473378</v>
      </c>
    </row>
    <row r="57" spans="1:10" s="85" customFormat="1" ht="30" x14ac:dyDescent="0.2">
      <c r="A57" s="125" t="s">
        <v>175</v>
      </c>
      <c r="B57" s="121" t="s">
        <v>298</v>
      </c>
      <c r="C57" s="123" t="s">
        <v>219</v>
      </c>
      <c r="D57" s="124" t="s">
        <v>301</v>
      </c>
      <c r="E57" s="120" t="s">
        <v>29</v>
      </c>
      <c r="F57" s="112">
        <f>'memória de cálculo'!J57</f>
        <v>599.11799999999994</v>
      </c>
      <c r="G57" s="128">
        <v>3.14</v>
      </c>
      <c r="H57" s="92">
        <f t="shared" ref="H57:H58" si="36">F57*G57</f>
        <v>1881.2305199999998</v>
      </c>
      <c r="I57" s="92">
        <f t="shared" ref="I57:I62" si="37">($G57*$J$3+$G57)</f>
        <v>3.91408530651871</v>
      </c>
      <c r="J57" s="93">
        <f t="shared" ref="J57:J58" si="38">F57*I57</f>
        <v>2344.9989606708764</v>
      </c>
    </row>
    <row r="58" spans="1:10" s="85" customFormat="1" x14ac:dyDescent="0.2">
      <c r="A58" s="125" t="s">
        <v>175</v>
      </c>
      <c r="B58" s="121" t="s">
        <v>299</v>
      </c>
      <c r="C58" s="123" t="s">
        <v>220</v>
      </c>
      <c r="D58" s="124" t="s">
        <v>300</v>
      </c>
      <c r="E58" s="120" t="s">
        <v>29</v>
      </c>
      <c r="F58" s="112">
        <f>'memória de cálculo'!J58</f>
        <v>180.78550000000001</v>
      </c>
      <c r="G58" s="128">
        <v>3.54</v>
      </c>
      <c r="H58" s="92">
        <f t="shared" si="36"/>
        <v>639.98067000000003</v>
      </c>
      <c r="I58" s="92">
        <f t="shared" si="37"/>
        <v>4.4126948997058069</v>
      </c>
      <c r="J58" s="93">
        <f t="shared" si="38"/>
        <v>797.75125379076417</v>
      </c>
    </row>
    <row r="59" spans="1:10" s="85" customFormat="1" ht="30" x14ac:dyDescent="0.2">
      <c r="A59" s="122" t="s">
        <v>114</v>
      </c>
      <c r="B59" s="121" t="s">
        <v>233</v>
      </c>
      <c r="C59" s="123" t="s">
        <v>221</v>
      </c>
      <c r="D59" s="124" t="s">
        <v>296</v>
      </c>
      <c r="E59" s="120" t="s">
        <v>29</v>
      </c>
      <c r="F59" s="112">
        <f>'memória de cálculo'!J59</f>
        <v>21.96</v>
      </c>
      <c r="G59" s="128">
        <v>12.53</v>
      </c>
      <c r="H59" s="92">
        <f t="shared" ref="H59" si="39">F59*G59</f>
        <v>275.15879999999999</v>
      </c>
      <c r="I59" s="92">
        <f t="shared" si="37"/>
        <v>15.618945506585806</v>
      </c>
      <c r="J59" s="93">
        <f t="shared" ref="J59" si="40">F59*I59</f>
        <v>342.99204332462432</v>
      </c>
    </row>
    <row r="60" spans="1:10" s="85" customFormat="1" ht="30" x14ac:dyDescent="0.2">
      <c r="A60" s="122" t="s">
        <v>114</v>
      </c>
      <c r="B60" s="121" t="s">
        <v>132</v>
      </c>
      <c r="C60" s="123" t="s">
        <v>251</v>
      </c>
      <c r="D60" s="124" t="s">
        <v>297</v>
      </c>
      <c r="E60" s="120" t="s">
        <v>29</v>
      </c>
      <c r="F60" s="112">
        <f>'memória de cálculo'!J60</f>
        <v>34.914000000000001</v>
      </c>
      <c r="G60" s="128">
        <v>2.85</v>
      </c>
      <c r="H60" s="92">
        <f t="shared" ref="H60:H61" si="41">F60*G60</f>
        <v>99.504900000000006</v>
      </c>
      <c r="I60" s="92">
        <f t="shared" si="37"/>
        <v>3.5525933514580643</v>
      </c>
      <c r="J60" s="93">
        <f t="shared" ref="J60:J80" si="42">F60*I60</f>
        <v>124.03524427280686</v>
      </c>
    </row>
    <row r="61" spans="1:10" s="85" customFormat="1" ht="30" x14ac:dyDescent="0.2">
      <c r="A61" s="122" t="s">
        <v>114</v>
      </c>
      <c r="B61" s="121" t="s">
        <v>133</v>
      </c>
      <c r="C61" s="123" t="s">
        <v>252</v>
      </c>
      <c r="D61" s="124" t="s">
        <v>134</v>
      </c>
      <c r="E61" s="120" t="s">
        <v>29</v>
      </c>
      <c r="F61" s="112">
        <f>'memória de cálculo'!J61</f>
        <v>248.05599999999998</v>
      </c>
      <c r="G61" s="128">
        <v>12.87</v>
      </c>
      <c r="H61" s="92">
        <f t="shared" si="41"/>
        <v>3192.4807199999996</v>
      </c>
      <c r="I61" s="92">
        <f t="shared" si="37"/>
        <v>16.042763660794837</v>
      </c>
      <c r="J61" s="93">
        <f t="shared" si="42"/>
        <v>3979.5037826421235</v>
      </c>
    </row>
    <row r="62" spans="1:10" s="85" customFormat="1" ht="30.75" thickBot="1" x14ac:dyDescent="0.25">
      <c r="A62" s="122" t="s">
        <v>114</v>
      </c>
      <c r="B62" s="141" t="s">
        <v>238</v>
      </c>
      <c r="C62" s="123" t="s">
        <v>302</v>
      </c>
      <c r="D62" s="142" t="s">
        <v>239</v>
      </c>
      <c r="E62" s="120" t="s">
        <v>29</v>
      </c>
      <c r="F62" s="112">
        <f>'memória de cálculo'!J62</f>
        <v>180.78550000000001</v>
      </c>
      <c r="G62" s="143">
        <v>14.56</v>
      </c>
      <c r="H62" s="92">
        <f t="shared" ref="H62" si="43">F62*G62</f>
        <v>2632.2368800000004</v>
      </c>
      <c r="I62" s="92">
        <f t="shared" si="37"/>
        <v>18.149389192010322</v>
      </c>
      <c r="J62" s="93">
        <f t="shared" ref="J62" si="44">F62*I62</f>
        <v>3281.1463997721821</v>
      </c>
    </row>
    <row r="63" spans="1:10" s="85" customFormat="1" ht="16.5" thickBot="1" x14ac:dyDescent="0.25">
      <c r="A63" s="117" t="s">
        <v>234</v>
      </c>
      <c r="B63" s="153" t="s">
        <v>135</v>
      </c>
      <c r="C63" s="154"/>
      <c r="D63" s="154"/>
      <c r="E63" s="154"/>
      <c r="F63" s="154"/>
      <c r="G63" s="155"/>
      <c r="H63" s="118">
        <f>SUM(H64:H65)</f>
        <v>4973.31214</v>
      </c>
      <c r="I63" s="119"/>
      <c r="J63" s="118">
        <f>SUM(J64:J65)</f>
        <v>6199.3528572946243</v>
      </c>
    </row>
    <row r="64" spans="1:10" s="85" customFormat="1" ht="30" x14ac:dyDescent="0.2">
      <c r="A64" s="122" t="s">
        <v>114</v>
      </c>
      <c r="B64" s="121" t="s">
        <v>136</v>
      </c>
      <c r="C64" s="123" t="s">
        <v>253</v>
      </c>
      <c r="D64" s="124" t="s">
        <v>295</v>
      </c>
      <c r="E64" s="120" t="s">
        <v>29</v>
      </c>
      <c r="F64" s="112">
        <f>'memória de cálculo'!J64</f>
        <v>21.555000000000003</v>
      </c>
      <c r="G64" s="128">
        <v>3.2</v>
      </c>
      <c r="H64" s="92">
        <f t="shared" ref="H64" si="45">F64*G64</f>
        <v>68.976000000000013</v>
      </c>
      <c r="I64" s="92">
        <f t="shared" ref="I64:I74" si="46">($G64*$J$3+$G64)</f>
        <v>3.9888767454967744</v>
      </c>
      <c r="J64" s="93">
        <f t="shared" si="42"/>
        <v>85.980238249182989</v>
      </c>
    </row>
    <row r="65" spans="1:10" s="85" customFormat="1" ht="15" customHeight="1" thickBot="1" x14ac:dyDescent="0.25">
      <c r="A65" s="122" t="s">
        <v>114</v>
      </c>
      <c r="B65" s="121" t="s">
        <v>137</v>
      </c>
      <c r="C65" s="123" t="s">
        <v>254</v>
      </c>
      <c r="D65" s="124" t="s">
        <v>138</v>
      </c>
      <c r="E65" s="120" t="s">
        <v>29</v>
      </c>
      <c r="F65" s="112">
        <f>'memória de cálculo'!J65</f>
        <v>351.06200000000001</v>
      </c>
      <c r="G65" s="128">
        <v>13.97</v>
      </c>
      <c r="H65" s="100">
        <f t="shared" ref="H65:H80" si="47">F65*G65</f>
        <v>4904.3361400000003</v>
      </c>
      <c r="I65" s="92">
        <f t="shared" si="46"/>
        <v>17.413940042059355</v>
      </c>
      <c r="J65" s="101">
        <f t="shared" si="42"/>
        <v>6113.3726190454418</v>
      </c>
    </row>
    <row r="66" spans="1:10" s="85" customFormat="1" ht="16.5" thickBot="1" x14ac:dyDescent="0.25">
      <c r="A66" s="117" t="s">
        <v>258</v>
      </c>
      <c r="B66" s="153" t="s">
        <v>240</v>
      </c>
      <c r="C66" s="154"/>
      <c r="D66" s="154"/>
      <c r="E66" s="154"/>
      <c r="F66" s="154"/>
      <c r="G66" s="155"/>
      <c r="H66" s="118">
        <f>SUM(H67:H69)</f>
        <v>4322.9636479999999</v>
      </c>
      <c r="I66" s="119"/>
      <c r="J66" s="118">
        <f>SUM(J67:J69)</f>
        <v>5388.6778647297197</v>
      </c>
    </row>
    <row r="67" spans="1:10" s="85" customFormat="1" x14ac:dyDescent="0.2">
      <c r="A67" s="122" t="s">
        <v>114</v>
      </c>
      <c r="B67" s="121" t="s">
        <v>241</v>
      </c>
      <c r="C67" s="123" t="s">
        <v>255</v>
      </c>
      <c r="D67" s="124" t="s">
        <v>242</v>
      </c>
      <c r="E67" s="120" t="s">
        <v>29</v>
      </c>
      <c r="F67" s="112">
        <f>'memória de cálculo'!J67</f>
        <v>79.102720000000005</v>
      </c>
      <c r="G67" s="128">
        <v>18.32</v>
      </c>
      <c r="H67" s="92">
        <f t="shared" ref="H67:H69" si="48">F67*G67</f>
        <v>1449.1618304000001</v>
      </c>
      <c r="I67" s="92">
        <f t="shared" si="46"/>
        <v>22.836319367969033</v>
      </c>
      <c r="J67" s="101">
        <f t="shared" ref="J67:J69" si="49">F67*I67</f>
        <v>1806.4149767950314</v>
      </c>
    </row>
    <row r="68" spans="1:10" s="85" customFormat="1" ht="30" x14ac:dyDescent="0.2">
      <c r="A68" s="122" t="s">
        <v>114</v>
      </c>
      <c r="B68" s="121" t="s">
        <v>243</v>
      </c>
      <c r="C68" s="123" t="s">
        <v>256</v>
      </c>
      <c r="D68" s="124" t="s">
        <v>244</v>
      </c>
      <c r="E68" s="120" t="s">
        <v>29</v>
      </c>
      <c r="F68" s="112">
        <f>'memória de cálculo'!J68</f>
        <v>79.102720000000005</v>
      </c>
      <c r="G68" s="128">
        <v>11.62</v>
      </c>
      <c r="H68" s="92">
        <f t="shared" si="48"/>
        <v>919.17360640000004</v>
      </c>
      <c r="I68" s="92">
        <f t="shared" si="46"/>
        <v>14.48460868208516</v>
      </c>
      <c r="J68" s="93">
        <f t="shared" si="49"/>
        <v>1145.7719448885514</v>
      </c>
    </row>
    <row r="69" spans="1:10" s="85" customFormat="1" ht="30.75" thickBot="1" x14ac:dyDescent="0.25">
      <c r="A69" s="122" t="s">
        <v>114</v>
      </c>
      <c r="B69" s="121" t="s">
        <v>245</v>
      </c>
      <c r="C69" s="123" t="s">
        <v>257</v>
      </c>
      <c r="D69" s="124" t="s">
        <v>246</v>
      </c>
      <c r="E69" s="120" t="s">
        <v>29</v>
      </c>
      <c r="F69" s="112">
        <f>'memória de cálculo'!J69</f>
        <v>79.102720000000005</v>
      </c>
      <c r="G69" s="128">
        <v>24.71</v>
      </c>
      <c r="H69" s="92">
        <f t="shared" si="48"/>
        <v>1954.6282112000001</v>
      </c>
      <c r="I69" s="92">
        <f t="shared" si="46"/>
        <v>30.801607619132902</v>
      </c>
      <c r="J69" s="93">
        <f t="shared" si="49"/>
        <v>2436.4909430461366</v>
      </c>
    </row>
    <row r="70" spans="1:10" s="85" customFormat="1" ht="16.5" thickBot="1" x14ac:dyDescent="0.25">
      <c r="A70" s="117" t="s">
        <v>271</v>
      </c>
      <c r="B70" s="153" t="s">
        <v>270</v>
      </c>
      <c r="C70" s="154"/>
      <c r="D70" s="154"/>
      <c r="E70" s="154"/>
      <c r="F70" s="154"/>
      <c r="G70" s="155"/>
      <c r="H70" s="118">
        <f>SUM(H71:H74)</f>
        <v>5815.77</v>
      </c>
      <c r="I70" s="119"/>
      <c r="J70" s="118">
        <f>SUM(J71:J74)</f>
        <v>7249.4967844243047</v>
      </c>
    </row>
    <row r="71" spans="1:10" s="85" customFormat="1" x14ac:dyDescent="0.2">
      <c r="A71" s="122" t="s">
        <v>100</v>
      </c>
      <c r="B71" s="121">
        <v>104803</v>
      </c>
      <c r="C71" s="123" t="s">
        <v>283</v>
      </c>
      <c r="D71" s="124" t="s">
        <v>273</v>
      </c>
      <c r="E71" s="120" t="s">
        <v>28</v>
      </c>
      <c r="F71" s="112">
        <f>'memória de cálculo'!J71</f>
        <v>45.45</v>
      </c>
      <c r="G71" s="128">
        <v>4.53</v>
      </c>
      <c r="H71" s="92">
        <f t="shared" ref="H71" si="50">F71*G71</f>
        <v>205.88850000000002</v>
      </c>
      <c r="I71" s="92">
        <f t="shared" si="46"/>
        <v>5.6467536428438709</v>
      </c>
      <c r="J71" s="93">
        <f t="shared" ref="J71" si="51">F71*I71</f>
        <v>256.64495306725394</v>
      </c>
    </row>
    <row r="72" spans="1:10" s="85" customFormat="1" ht="30" x14ac:dyDescent="0.2">
      <c r="A72" s="122" t="s">
        <v>175</v>
      </c>
      <c r="B72" s="121" t="s">
        <v>275</v>
      </c>
      <c r="C72" s="123" t="s">
        <v>284</v>
      </c>
      <c r="D72" s="124" t="s">
        <v>277</v>
      </c>
      <c r="E72" s="120" t="s">
        <v>28</v>
      </c>
      <c r="F72" s="112">
        <f>'memória de cálculo'!J72</f>
        <v>15.15</v>
      </c>
      <c r="G72" s="128">
        <v>63.67</v>
      </c>
      <c r="H72" s="92">
        <f t="shared" ref="H72:H74" si="52">F72*G72</f>
        <v>964.60050000000001</v>
      </c>
      <c r="I72" s="92">
        <f t="shared" si="46"/>
        <v>79.366181995556133</v>
      </c>
      <c r="J72" s="93">
        <f t="shared" ref="J72:J74" si="53">F72*I72</f>
        <v>1202.3976572326753</v>
      </c>
    </row>
    <row r="73" spans="1:10" s="85" customFormat="1" ht="30" x14ac:dyDescent="0.2">
      <c r="A73" s="122" t="s">
        <v>175</v>
      </c>
      <c r="B73" s="121" t="s">
        <v>274</v>
      </c>
      <c r="C73" s="123" t="s">
        <v>285</v>
      </c>
      <c r="D73" s="124" t="s">
        <v>278</v>
      </c>
      <c r="E73" s="120" t="s">
        <v>28</v>
      </c>
      <c r="F73" s="112">
        <f>'memória de cálculo'!J73</f>
        <v>30.3</v>
      </c>
      <c r="G73" s="128">
        <v>40.340000000000003</v>
      </c>
      <c r="H73" s="92">
        <f t="shared" si="52"/>
        <v>1222.3020000000001</v>
      </c>
      <c r="I73" s="92">
        <f t="shared" si="46"/>
        <v>50.284777472918712</v>
      </c>
      <c r="J73" s="93">
        <f t="shared" si="53"/>
        <v>1523.628757429437</v>
      </c>
    </row>
    <row r="74" spans="1:10" s="85" customFormat="1" ht="30.75" thickBot="1" x14ac:dyDescent="0.25">
      <c r="A74" s="122" t="s">
        <v>175</v>
      </c>
      <c r="B74" s="121" t="s">
        <v>276</v>
      </c>
      <c r="C74" s="123" t="s">
        <v>286</v>
      </c>
      <c r="D74" s="124" t="s">
        <v>279</v>
      </c>
      <c r="E74" s="120" t="s">
        <v>28</v>
      </c>
      <c r="F74" s="112">
        <f>'memória de cálculo'!J74</f>
        <v>56.7</v>
      </c>
      <c r="G74" s="128">
        <v>60.37</v>
      </c>
      <c r="H74" s="92">
        <f t="shared" si="52"/>
        <v>3422.9789999999998</v>
      </c>
      <c r="I74" s="92">
        <f t="shared" si="46"/>
        <v>75.252652851762576</v>
      </c>
      <c r="J74" s="93">
        <f t="shared" si="53"/>
        <v>4266.8254166949382</v>
      </c>
    </row>
    <row r="75" spans="1:10" s="85" customFormat="1" ht="16.5" thickBot="1" x14ac:dyDescent="0.25">
      <c r="A75" s="81">
        <v>6</v>
      </c>
      <c r="B75" s="156" t="s">
        <v>269</v>
      </c>
      <c r="C75" s="157"/>
      <c r="D75" s="157"/>
      <c r="E75" s="157"/>
      <c r="F75" s="157"/>
      <c r="G75" s="157"/>
      <c r="H75" s="82">
        <f>SUM(H76:H78)</f>
        <v>14224.519799999998</v>
      </c>
      <c r="I75" s="83"/>
      <c r="J75" s="82">
        <f>SUM(J76:J78)</f>
        <v>17731.205076899507</v>
      </c>
    </row>
    <row r="76" spans="1:10" s="85" customFormat="1" ht="45" x14ac:dyDescent="0.2">
      <c r="A76" s="65" t="s">
        <v>100</v>
      </c>
      <c r="B76" s="71">
        <v>103314</v>
      </c>
      <c r="C76" s="67" t="s">
        <v>310</v>
      </c>
      <c r="D76" s="130" t="s">
        <v>320</v>
      </c>
      <c r="E76" s="71" t="s">
        <v>29</v>
      </c>
      <c r="F76" s="112">
        <f>'memória de cálculo'!J76</f>
        <v>19.139999999999997</v>
      </c>
      <c r="G76" s="92">
        <v>342.39</v>
      </c>
      <c r="H76" s="92">
        <f t="shared" ref="H76:H78" si="54">F76*G76</f>
        <v>6553.3445999999985</v>
      </c>
      <c r="I76" s="92">
        <f>($G76*$J$3+$G76)</f>
        <v>426.79734652832514</v>
      </c>
      <c r="J76" s="93">
        <f t="shared" ref="J76:J78" si="55">F76*I76</f>
        <v>8168.9012125521422</v>
      </c>
    </row>
    <row r="77" spans="1:10" s="85" customFormat="1" ht="30" x14ac:dyDescent="0.2">
      <c r="A77" s="122" t="s">
        <v>319</v>
      </c>
      <c r="B77" s="71" t="s">
        <v>43</v>
      </c>
      <c r="C77" s="67" t="s">
        <v>312</v>
      </c>
      <c r="D77" s="130" t="s">
        <v>321</v>
      </c>
      <c r="E77" s="71" t="s">
        <v>29</v>
      </c>
      <c r="F77" s="112">
        <f>'memória de cálculo'!J77</f>
        <v>19.139999999999997</v>
      </c>
      <c r="G77" s="92">
        <f>4228.02/F77</f>
        <v>220.89968652037624</v>
      </c>
      <c r="H77" s="92">
        <f t="shared" si="54"/>
        <v>4228.0200000000004</v>
      </c>
      <c r="I77" s="92">
        <f>($G77*$J$3+$G77)</f>
        <v>275.35675707770497</v>
      </c>
      <c r="J77" s="93">
        <f t="shared" si="55"/>
        <v>5270.3283304672723</v>
      </c>
    </row>
    <row r="78" spans="1:10" s="85" customFormat="1" ht="30.75" thickBot="1" x14ac:dyDescent="0.25">
      <c r="A78" s="65" t="s">
        <v>175</v>
      </c>
      <c r="B78" s="71" t="s">
        <v>282</v>
      </c>
      <c r="C78" s="67" t="s">
        <v>313</v>
      </c>
      <c r="D78" s="130" t="s">
        <v>314</v>
      </c>
      <c r="E78" s="71" t="s">
        <v>29</v>
      </c>
      <c r="F78" s="112">
        <f>'memória de cálculo'!J78</f>
        <v>9.0400000000000009</v>
      </c>
      <c r="G78" s="92">
        <v>380.88</v>
      </c>
      <c r="H78" s="92">
        <f t="shared" si="54"/>
        <v>3443.1552000000001</v>
      </c>
      <c r="I78" s="92">
        <f>($G78*$J$3+$G78)</f>
        <v>474.77605463275353</v>
      </c>
      <c r="J78" s="93">
        <f t="shared" si="55"/>
        <v>4291.9755338800924</v>
      </c>
    </row>
    <row r="79" spans="1:10" s="85" customFormat="1" ht="16.5" thickBot="1" x14ac:dyDescent="0.25">
      <c r="A79" s="96">
        <v>7</v>
      </c>
      <c r="B79" s="156" t="s">
        <v>23</v>
      </c>
      <c r="C79" s="157"/>
      <c r="D79" s="157"/>
      <c r="E79" s="157"/>
      <c r="F79" s="157"/>
      <c r="G79" s="158"/>
      <c r="H79" s="82">
        <f>SUM(H80)</f>
        <v>1567.02</v>
      </c>
      <c r="I79" s="82"/>
      <c r="J79" s="97">
        <f>SUM(J80)</f>
        <v>1953.3280117901108</v>
      </c>
    </row>
    <row r="80" spans="1:10" ht="16.5" thickBot="1" x14ac:dyDescent="0.3">
      <c r="A80" s="70" t="s">
        <v>20</v>
      </c>
      <c r="B80" s="135" t="s">
        <v>10</v>
      </c>
      <c r="C80" s="136" t="s">
        <v>289</v>
      </c>
      <c r="D80" s="137" t="s">
        <v>23</v>
      </c>
      <c r="E80" s="138" t="s">
        <v>29</v>
      </c>
      <c r="F80" s="112">
        <f>'memória de cálculo'!J80</f>
        <v>238.875</v>
      </c>
      <c r="G80" s="139">
        <v>6.56</v>
      </c>
      <c r="H80" s="100">
        <f t="shared" si="47"/>
        <v>1567.02</v>
      </c>
      <c r="I80" s="100">
        <f>($G80*$J$3+$G80)</f>
        <v>8.1771973282683863</v>
      </c>
      <c r="J80" s="101">
        <f t="shared" si="42"/>
        <v>1953.3280117901108</v>
      </c>
    </row>
    <row r="81" spans="1:10" ht="16.5" thickBot="1" x14ac:dyDescent="0.3">
      <c r="A81" s="168" t="s">
        <v>87</v>
      </c>
      <c r="B81" s="169"/>
      <c r="C81" s="169"/>
      <c r="D81" s="169"/>
      <c r="E81" s="169"/>
      <c r="F81" s="169"/>
      <c r="G81" s="170"/>
      <c r="H81" s="102">
        <f>H8+H14+H22+H33+H42+H79+H75</f>
        <v>123350.799576</v>
      </c>
      <c r="I81" s="102"/>
      <c r="J81" s="102">
        <f>J8+J14+J22+J33+J42+J79+J75</f>
        <v>153759.72998973116</v>
      </c>
    </row>
    <row r="82" spans="1:10" x14ac:dyDescent="0.25">
      <c r="A82" s="171"/>
      <c r="B82" s="172"/>
      <c r="C82" s="172"/>
      <c r="D82" s="175"/>
      <c r="E82" s="159" t="s">
        <v>82</v>
      </c>
      <c r="F82" s="160"/>
      <c r="G82" s="160"/>
      <c r="H82" s="160"/>
      <c r="I82" s="160"/>
      <c r="J82" s="161"/>
    </row>
    <row r="83" spans="1:10" x14ac:dyDescent="0.25">
      <c r="A83" s="173"/>
      <c r="B83" s="174"/>
      <c r="C83" s="174"/>
      <c r="D83" s="176"/>
      <c r="E83" s="162"/>
      <c r="F83" s="163"/>
      <c r="G83" s="163"/>
      <c r="H83" s="163"/>
      <c r="I83" s="163"/>
      <c r="J83" s="164"/>
    </row>
    <row r="84" spans="1:10" x14ac:dyDescent="0.25">
      <c r="A84" s="173"/>
      <c r="B84" s="174"/>
      <c r="C84" s="174"/>
      <c r="D84" s="176"/>
      <c r="E84" s="162"/>
      <c r="F84" s="163"/>
      <c r="G84" s="163"/>
      <c r="H84" s="163"/>
      <c r="I84" s="163"/>
      <c r="J84" s="164"/>
    </row>
    <row r="85" spans="1:10" ht="56.25" customHeight="1" thickBot="1" x14ac:dyDescent="0.3">
      <c r="A85" s="178" t="s">
        <v>95</v>
      </c>
      <c r="B85" s="179"/>
      <c r="C85" s="179"/>
      <c r="D85" s="177"/>
      <c r="E85" s="165"/>
      <c r="F85" s="166"/>
      <c r="G85" s="166"/>
      <c r="H85" s="166"/>
      <c r="I85" s="166"/>
      <c r="J85" s="167"/>
    </row>
    <row r="87" spans="1:10" x14ac:dyDescent="0.25">
      <c r="D87" s="104"/>
    </row>
  </sheetData>
  <mergeCells count="39">
    <mergeCell ref="B56:G56"/>
    <mergeCell ref="B63:G63"/>
    <mergeCell ref="B52:G52"/>
    <mergeCell ref="B54:G54"/>
    <mergeCell ref="B22:G22"/>
    <mergeCell ref="B42:G42"/>
    <mergeCell ref="B33:G33"/>
    <mergeCell ref="B47:G47"/>
    <mergeCell ref="B43:G43"/>
    <mergeCell ref="A1:A5"/>
    <mergeCell ref="D6:D7"/>
    <mergeCell ref="H1:J1"/>
    <mergeCell ref="B14:G14"/>
    <mergeCell ref="A6:A7"/>
    <mergeCell ref="F6:F7"/>
    <mergeCell ref="C6:C7"/>
    <mergeCell ref="B8:G8"/>
    <mergeCell ref="H4:J4"/>
    <mergeCell ref="B4:D4"/>
    <mergeCell ref="B5:D5"/>
    <mergeCell ref="B1:G2"/>
    <mergeCell ref="B6:B7"/>
    <mergeCell ref="E6:E7"/>
    <mergeCell ref="B3:D3"/>
    <mergeCell ref="H2:J2"/>
    <mergeCell ref="G6:H6"/>
    <mergeCell ref="I6:J6"/>
    <mergeCell ref="H3:I3"/>
    <mergeCell ref="E3:G5"/>
    <mergeCell ref="H5:J5"/>
    <mergeCell ref="B66:G66"/>
    <mergeCell ref="B79:G79"/>
    <mergeCell ref="E82:J85"/>
    <mergeCell ref="A81:G81"/>
    <mergeCell ref="A82:C84"/>
    <mergeCell ref="D82:D85"/>
    <mergeCell ref="A85:C85"/>
    <mergeCell ref="B70:G70"/>
    <mergeCell ref="B75:G75"/>
  </mergeCells>
  <phoneticPr fontId="11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58" fitToHeight="0" orientation="landscape" r:id="rId1"/>
  <headerFooter>
    <oddHeader>&amp;L&amp;G</oddHeader>
    <oddFooter>&amp;C&amp;"Times New Roman,Normal"&amp;12RJ Morais Engenharia e Arquitetura Ltda / CNPJ: 42.441.571/0001-01
www.rjmorais.com.br / rjmorais@rjmorais.com.br / Fone: (37) 99182-8911
Rua Jarbas Ferreira Pires, 440, sala 102, Centro, Arcos/MG, cep 35.588-000</oddFooter>
  </headerFooter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J84"/>
  <sheetViews>
    <sheetView showGridLines="0" view="pageBreakPreview" topLeftCell="F74" zoomScale="40" zoomScaleNormal="100" zoomScaleSheetLayoutView="40" workbookViewId="0">
      <selection activeCell="H76" sqref="H76:I76"/>
    </sheetView>
  </sheetViews>
  <sheetFormatPr defaultColWidth="9.140625" defaultRowHeight="40.5" customHeight="1" x14ac:dyDescent="0.25"/>
  <cols>
    <col min="1" max="1" width="27.5703125" style="105" customWidth="1"/>
    <col min="2" max="2" width="15.5703125" style="76" customWidth="1"/>
    <col min="3" max="3" width="11.5703125" style="62" bestFit="1" customWidth="1"/>
    <col min="4" max="4" width="126.42578125" style="62" customWidth="1"/>
    <col min="5" max="5" width="6.5703125" style="62" bestFit="1" customWidth="1"/>
    <col min="6" max="6" width="14.28515625" style="77" customWidth="1"/>
    <col min="7" max="7" width="21" style="62" customWidth="1"/>
    <col min="8" max="8" width="66.85546875" style="62" customWidth="1"/>
    <col min="9" max="9" width="65.7109375" style="62" customWidth="1"/>
    <col min="10" max="10" width="20.140625" style="62" bestFit="1" customWidth="1"/>
    <col min="11" max="11" width="9.140625" style="62"/>
    <col min="12" max="12" width="31" style="62" customWidth="1"/>
    <col min="13" max="16384" width="9.140625" style="62"/>
  </cols>
  <sheetData>
    <row r="1" spans="1:10" ht="15.75" x14ac:dyDescent="0.25">
      <c r="A1" s="242"/>
      <c r="B1" s="213" t="s">
        <v>24</v>
      </c>
      <c r="C1" s="213"/>
      <c r="D1" s="213"/>
      <c r="E1" s="213"/>
      <c r="F1" s="213"/>
      <c r="G1" s="214"/>
      <c r="H1" s="201" t="str">
        <f>Planilha!H1</f>
        <v>COMPOSIÇÃO EM SETEMBRO DE 2024</v>
      </c>
      <c r="I1" s="201"/>
      <c r="J1" s="202"/>
    </row>
    <row r="2" spans="1:10" ht="36" customHeight="1" x14ac:dyDescent="0.25">
      <c r="A2" s="243"/>
      <c r="B2" s="215"/>
      <c r="C2" s="215"/>
      <c r="D2" s="215"/>
      <c r="E2" s="215"/>
      <c r="F2" s="215"/>
      <c r="G2" s="216"/>
      <c r="H2" s="219" t="str">
        <f>Planilha!H2</f>
        <v>Data-Base: SINAPI/AGO 2024 -  SUDECAP/ABR 2024 - SETOP/ABR 2024</v>
      </c>
      <c r="I2" s="220"/>
      <c r="J2" s="221"/>
    </row>
    <row r="3" spans="1:10" ht="24.95" customHeight="1" x14ac:dyDescent="0.25">
      <c r="A3" s="243"/>
      <c r="B3" s="217" t="str">
        <f>Planilha!B3</f>
        <v>CAPELA VELÓRIO DO CEMITÉRIO MUNICIPAL</v>
      </c>
      <c r="C3" s="217"/>
      <c r="D3" s="218"/>
      <c r="E3" s="184" t="s">
        <v>9</v>
      </c>
      <c r="F3" s="185"/>
      <c r="G3" s="186"/>
      <c r="H3" s="182" t="s">
        <v>21</v>
      </c>
      <c r="I3" s="183"/>
      <c r="J3" s="63">
        <f>BDI!I7</f>
        <v>0.24652398296774192</v>
      </c>
    </row>
    <row r="4" spans="1:10" ht="24.95" customHeight="1" x14ac:dyDescent="0.25">
      <c r="A4" s="243"/>
      <c r="B4" s="209" t="str">
        <f>Planilha!B4</f>
        <v>LOCAL:  RUA RIO INDAIÁ, CEDRO DO ABAETÉ - MG</v>
      </c>
      <c r="C4" s="209"/>
      <c r="D4" s="210"/>
      <c r="E4" s="187"/>
      <c r="F4" s="188"/>
      <c r="G4" s="189"/>
      <c r="H4" s="206" t="s">
        <v>93</v>
      </c>
      <c r="I4" s="207"/>
      <c r="J4" s="208"/>
    </row>
    <row r="5" spans="1:10" ht="24.95" customHeight="1" thickBot="1" x14ac:dyDescent="0.3">
      <c r="A5" s="244"/>
      <c r="B5" s="211" t="str">
        <f>Planilha!B5</f>
        <v>PREFEITURA MUNICIPAL DE CEDRO DO ABAETÉ - MG</v>
      </c>
      <c r="C5" s="211"/>
      <c r="D5" s="212"/>
      <c r="E5" s="190"/>
      <c r="F5" s="191"/>
      <c r="G5" s="192"/>
      <c r="H5" s="193" t="s">
        <v>8</v>
      </c>
      <c r="I5" s="194"/>
      <c r="J5" s="195"/>
    </row>
    <row r="6" spans="1:10" ht="15.75" x14ac:dyDescent="0.25">
      <c r="A6" s="245"/>
      <c r="B6" s="199" t="s">
        <v>1</v>
      </c>
      <c r="C6" s="199" t="s">
        <v>2</v>
      </c>
      <c r="D6" s="199" t="s">
        <v>3</v>
      </c>
      <c r="E6" s="199" t="s">
        <v>0</v>
      </c>
      <c r="F6" s="231" t="s">
        <v>25</v>
      </c>
      <c r="G6" s="231"/>
      <c r="H6" s="236" t="s">
        <v>26</v>
      </c>
      <c r="I6" s="236"/>
      <c r="J6" s="238" t="s">
        <v>27</v>
      </c>
    </row>
    <row r="7" spans="1:10" ht="16.5" thickBot="1" x14ac:dyDescent="0.3">
      <c r="A7" s="245"/>
      <c r="B7" s="200"/>
      <c r="C7" s="200"/>
      <c r="D7" s="200"/>
      <c r="E7" s="200"/>
      <c r="F7" s="232"/>
      <c r="G7" s="232"/>
      <c r="H7" s="237"/>
      <c r="I7" s="237"/>
      <c r="J7" s="239"/>
    </row>
    <row r="8" spans="1:10" ht="16.5" thickBot="1" x14ac:dyDescent="0.3">
      <c r="A8" s="64">
        <f>Planilha!A8</f>
        <v>1</v>
      </c>
      <c r="B8" s="233" t="str">
        <f>Planilha!B8</f>
        <v xml:space="preserve">SERVIÇOS PRELIMINARES </v>
      </c>
      <c r="C8" s="234"/>
      <c r="D8" s="234"/>
      <c r="E8" s="234"/>
      <c r="F8" s="234"/>
      <c r="G8" s="234"/>
      <c r="H8" s="234"/>
      <c r="I8" s="234"/>
      <c r="J8" s="235"/>
    </row>
    <row r="9" spans="1:10" ht="15.75" x14ac:dyDescent="0.25">
      <c r="A9" s="65" t="str">
        <f>Planilha!A9</f>
        <v>Sudecap (Construção)</v>
      </c>
      <c r="B9" s="66" t="str">
        <f>Planilha!B9</f>
        <v>01.03.03</v>
      </c>
      <c r="C9" s="67" t="str">
        <f>Planilha!C9</f>
        <v>1.1</v>
      </c>
      <c r="D9" s="68" t="str">
        <f>Planilha!D9</f>
        <v xml:space="preserve"> PLACA DE OBRA EM CHAPA GALVANIZADA ADESIVADA, DIMENSÕES  2,40 X 1,20 M, PADRÃO CE</v>
      </c>
      <c r="E9" s="66" t="str">
        <f>Planilha!E9</f>
        <v>m²</v>
      </c>
      <c r="F9" s="223" t="s">
        <v>40</v>
      </c>
      <c r="G9" s="223"/>
      <c r="H9" s="223" t="s">
        <v>79</v>
      </c>
      <c r="I9" s="223"/>
      <c r="J9" s="69">
        <f>1.5*3</f>
        <v>4.5</v>
      </c>
    </row>
    <row r="10" spans="1:10" ht="15.75" x14ac:dyDescent="0.25">
      <c r="A10" s="70" t="str">
        <f>Planilha!A10</f>
        <v>CREA/MG</v>
      </c>
      <c r="B10" s="71" t="str">
        <f>Planilha!B10</f>
        <v>CREA/MG</v>
      </c>
      <c r="C10" s="72" t="str">
        <f>Planilha!C10</f>
        <v>1.2</v>
      </c>
      <c r="D10" s="73" t="str">
        <f>Planilha!D10</f>
        <v>ANOTAÇÃO DE RESPONSABILIDADE TÉCNICA DE EXECUÇÃO / EMISSÃO DE CAT</v>
      </c>
      <c r="E10" s="71" t="str">
        <f>Planilha!E10</f>
        <v>vb</v>
      </c>
      <c r="F10" s="222" t="s">
        <v>41</v>
      </c>
      <c r="G10" s="222"/>
      <c r="H10" s="222" t="s">
        <v>43</v>
      </c>
      <c r="I10" s="222"/>
      <c r="J10" s="74">
        <v>1</v>
      </c>
    </row>
    <row r="11" spans="1:10" ht="15.75" x14ac:dyDescent="0.25">
      <c r="A11" s="70" t="str">
        <f>Planilha!A11</f>
        <v>Sudecap (Insumos)</v>
      </c>
      <c r="B11" s="71" t="str">
        <f>Planilha!B11</f>
        <v>89.50.02</v>
      </c>
      <c r="C11" s="72" t="str">
        <f>Planilha!C11</f>
        <v>1.3</v>
      </c>
      <c r="D11" s="73" t="str">
        <f>Planilha!D11</f>
        <v>CONTAINER 6,0X2,30X2,82M COM ISOLAMENTO TERMICO</v>
      </c>
      <c r="E11" s="71" t="str">
        <f>Planilha!E11</f>
        <v>mês</v>
      </c>
      <c r="F11" s="222" t="s">
        <v>42</v>
      </c>
      <c r="G11" s="222"/>
      <c r="H11" s="222" t="s">
        <v>43</v>
      </c>
      <c r="I11" s="222"/>
      <c r="J11" s="75">
        <v>1</v>
      </c>
    </row>
    <row r="12" spans="1:10" ht="15.75" x14ac:dyDescent="0.25">
      <c r="A12" s="70" t="str">
        <f>Planilha!A12</f>
        <v>Sudecap (Construção)</v>
      </c>
      <c r="B12" s="71" t="str">
        <f>Planilha!B12</f>
        <v>01.10.01</v>
      </c>
      <c r="C12" s="72" t="str">
        <f>Planilha!C12</f>
        <v>1.4</v>
      </c>
      <c r="D12" s="73" t="str">
        <f>Planilha!D12</f>
        <v>BANHEIRO QUIMICO 110X120X230CM COM MANUTENCAO</v>
      </c>
      <c r="E12" s="71" t="str">
        <f>Planilha!E12</f>
        <v>mês</v>
      </c>
      <c r="F12" s="222" t="s">
        <v>41</v>
      </c>
      <c r="G12" s="222"/>
      <c r="H12" s="222" t="s">
        <v>43</v>
      </c>
      <c r="I12" s="222"/>
      <c r="J12" s="75">
        <v>1</v>
      </c>
    </row>
    <row r="13" spans="1:10" ht="58.9" customHeight="1" thickBot="1" x14ac:dyDescent="0.3">
      <c r="A13" s="70" t="str">
        <f>Planilha!A13</f>
        <v>Sudecap (Construção)</v>
      </c>
      <c r="B13" s="71">
        <f>Planilha!B13</f>
        <v>10749</v>
      </c>
      <c r="C13" s="72" t="str">
        <f>Planilha!C13</f>
        <v>1.5</v>
      </c>
      <c r="D13" s="73" t="str">
        <f>Planilha!D13</f>
        <v>LOCACAO DE ESCORA METALICA TELESCOPICA, COM ALTURA REGULAVEL DE *1,80* A *3,20* M, COM CAPACIDADE DE CARGA DE NO MINIMO 1000 KGF (10 KN), INCLUSO TRIPE E FORCADO</v>
      </c>
      <c r="E13" s="71" t="str">
        <f>Planilha!E13</f>
        <v>Unx Mês</v>
      </c>
      <c r="F13" s="222" t="s">
        <v>41</v>
      </c>
      <c r="G13" s="222"/>
      <c r="H13" s="222" t="s">
        <v>43</v>
      </c>
      <c r="I13" s="222"/>
      <c r="J13" s="129">
        <v>45</v>
      </c>
    </row>
    <row r="14" spans="1:10" ht="16.5" thickBot="1" x14ac:dyDescent="0.3">
      <c r="A14" s="64">
        <f>Planilha!A14</f>
        <v>2</v>
      </c>
      <c r="B14" s="233" t="str">
        <f>Planilha!B14</f>
        <v>DEMOLIÇÃO</v>
      </c>
      <c r="C14" s="234"/>
      <c r="D14" s="234"/>
      <c r="E14" s="234"/>
      <c r="F14" s="234"/>
      <c r="G14" s="234"/>
      <c r="H14" s="234"/>
      <c r="I14" s="234"/>
      <c r="J14" s="235"/>
    </row>
    <row r="15" spans="1:10" ht="30.6" customHeight="1" x14ac:dyDescent="0.25">
      <c r="A15" s="70" t="str">
        <f>Planilha!A15</f>
        <v>SINAPI</v>
      </c>
      <c r="B15" s="71">
        <f>Planilha!B15</f>
        <v>97624</v>
      </c>
      <c r="C15" s="72" t="str">
        <f>Planilha!C15</f>
        <v>2.1</v>
      </c>
      <c r="D15" s="73" t="str">
        <f>Planilha!D15</f>
        <v>DEMOLIÇÃO DE ALVENARIA DE TIJOLO MACIÇO, DE FORMA MANUAL, SEM REAPROVEITAMENTO. AF_09/2023</v>
      </c>
      <c r="E15" s="71" t="str">
        <f>Planilha!E15</f>
        <v>m³</v>
      </c>
      <c r="F15" s="222" t="s">
        <v>145</v>
      </c>
      <c r="G15" s="222"/>
      <c r="H15" s="223" t="s">
        <v>142</v>
      </c>
      <c r="I15" s="223"/>
      <c r="J15" s="74">
        <f>1.35*2.2*0.13</f>
        <v>0.38610000000000011</v>
      </c>
    </row>
    <row r="16" spans="1:10" ht="47.45" customHeight="1" x14ac:dyDescent="0.25">
      <c r="A16" s="70" t="str">
        <f>Planilha!A16</f>
        <v>SINAPI</v>
      </c>
      <c r="B16" s="71">
        <f>Planilha!B16</f>
        <v>97633</v>
      </c>
      <c r="C16" s="72" t="str">
        <f>Planilha!C16</f>
        <v>2.2</v>
      </c>
      <c r="D16" s="73" t="str">
        <f>Planilha!D16</f>
        <v>DEMOLIÇÃO DE REVESTIMENTO CERÂMICO, DE FORMA MANUAL, SEM REAPROVEITAMENTO. AF_09/2023</v>
      </c>
      <c r="E16" s="71" t="str">
        <f>Planilha!E16</f>
        <v>m²</v>
      </c>
      <c r="F16" s="222" t="s">
        <v>140</v>
      </c>
      <c r="G16" s="222"/>
      <c r="H16" s="223" t="s">
        <v>141</v>
      </c>
      <c r="I16" s="223"/>
      <c r="J16" s="74">
        <f>1.5*1.5*2</f>
        <v>4.5</v>
      </c>
    </row>
    <row r="17" spans="1:10" ht="31.9" customHeight="1" x14ac:dyDescent="0.25">
      <c r="A17" s="70" t="str">
        <f>Planilha!A17</f>
        <v>SINAPI</v>
      </c>
      <c r="B17" s="71">
        <f>Planilha!B17</f>
        <v>104789</v>
      </c>
      <c r="C17" s="72" t="str">
        <f>Planilha!C17</f>
        <v>2.3</v>
      </c>
      <c r="D17" s="73" t="str">
        <f>Planilha!D17</f>
        <v>DEMOLIÇÃO DE PISO DE CONCRETO SIMPLES, DE FORMA MANUAL, SEM REAPROVEITAMENTO. AF_09/2023</v>
      </c>
      <c r="E17" s="71" t="str">
        <f>Planilha!E17</f>
        <v>m³</v>
      </c>
      <c r="F17" s="222" t="s">
        <v>144</v>
      </c>
      <c r="G17" s="222"/>
      <c r="H17" s="223" t="s">
        <v>161</v>
      </c>
      <c r="I17" s="223"/>
      <c r="J17" s="75">
        <f>1.5*1.5*0.1*8+1.5*1.5*0.25*2</f>
        <v>2.9249999999999998</v>
      </c>
    </row>
    <row r="18" spans="1:10" ht="30" x14ac:dyDescent="0.25">
      <c r="A18" s="70" t="str">
        <f>Planilha!A18</f>
        <v>SINAPI</v>
      </c>
      <c r="B18" s="71">
        <f>Planilha!B18</f>
        <v>96522</v>
      </c>
      <c r="C18" s="72" t="str">
        <f>Planilha!C18</f>
        <v>2.4</v>
      </c>
      <c r="D18" s="73" t="str">
        <f>Planilha!D18</f>
        <v>ESCAVAÇÃO MANUAL PARA BLOCO DE COROAMENTO OU SAPATA (SEM ESCAVAÇÃO PARA COLOCAÇÃO DE FÔRMAS). AF_01/2024</v>
      </c>
      <c r="E18" s="71" t="str">
        <f>Planilha!E18</f>
        <v>m³</v>
      </c>
      <c r="F18" s="222" t="s">
        <v>144</v>
      </c>
      <c r="G18" s="222"/>
      <c r="H18" s="223" t="s">
        <v>155</v>
      </c>
      <c r="I18" s="223"/>
      <c r="J18" s="75">
        <f>1.5*1.5*1*10+1.4*0.5*0.4*10</f>
        <v>25.3</v>
      </c>
    </row>
    <row r="19" spans="1:10" ht="30" x14ac:dyDescent="0.25">
      <c r="A19" s="70" t="str">
        <f>Planilha!A19</f>
        <v>SINAPI</v>
      </c>
      <c r="B19" s="71">
        <f>Planilha!B19</f>
        <v>101174</v>
      </c>
      <c r="C19" s="72" t="str">
        <f>Planilha!C19</f>
        <v>2.5</v>
      </c>
      <c r="D19" s="73" t="str">
        <f>Planilha!D19</f>
        <v>ESTACA BROCA DE CONCRETO, DIÂMETRO DE 25CM, ESCAVAÇÃO MANUAL COM TRADO CONCHA, COM ARMADURA DE ARRANQUE. AF_05/2020</v>
      </c>
      <c r="E19" s="71" t="str">
        <f>Planilha!E19</f>
        <v>m</v>
      </c>
      <c r="F19" s="222" t="s">
        <v>146</v>
      </c>
      <c r="G19" s="222"/>
      <c r="H19" s="224" t="s">
        <v>147</v>
      </c>
      <c r="I19" s="225"/>
      <c r="J19" s="75">
        <v>60</v>
      </c>
    </row>
    <row r="20" spans="1:10" ht="47.45" customHeight="1" x14ac:dyDescent="0.25">
      <c r="A20" s="70" t="str">
        <f>Planilha!A20</f>
        <v>SUDECAP</v>
      </c>
      <c r="B20" s="71" t="str">
        <f>Planilha!B20</f>
        <v>02.09.01</v>
      </c>
      <c r="C20" s="72" t="str">
        <f>Planilha!C20</f>
        <v>2.6</v>
      </c>
      <c r="D20" s="73" t="str">
        <f>Planilha!D20</f>
        <v>DE REBOCO (DEMOLIÇÃO COM AFASTAMENTO)</v>
      </c>
      <c r="E20" s="71" t="str">
        <f>Planilha!E20</f>
        <v>m²</v>
      </c>
      <c r="F20" s="222" t="s">
        <v>164</v>
      </c>
      <c r="G20" s="222"/>
      <c r="H20" s="224" t="s">
        <v>308</v>
      </c>
      <c r="I20" s="225"/>
      <c r="J20" s="75">
        <f>0.2*0.3*16</f>
        <v>0.96</v>
      </c>
    </row>
    <row r="21" spans="1:10" ht="50.45" customHeight="1" thickBot="1" x14ac:dyDescent="0.3">
      <c r="A21" s="70" t="str">
        <f>Planilha!A21</f>
        <v>SUDECAP</v>
      </c>
      <c r="B21" s="71" t="str">
        <f>Planilha!B21</f>
        <v>02.11.02</v>
      </c>
      <c r="C21" s="72" t="str">
        <f>Planilha!C21</f>
        <v>2.7</v>
      </c>
      <c r="D21" s="73" t="str">
        <f>Planilha!D21</f>
        <v>PASSEIO OU LAJE DE CONCRETO C/ EQUIP. PNEUMATICO</v>
      </c>
      <c r="E21" s="71" t="str">
        <f>Planilha!E21</f>
        <v>m²</v>
      </c>
      <c r="F21" s="222" t="s">
        <v>164</v>
      </c>
      <c r="G21" s="222"/>
      <c r="H21" s="224" t="s">
        <v>309</v>
      </c>
      <c r="I21" s="225"/>
      <c r="J21" s="75">
        <f>0.2*0.3*10</f>
        <v>0.6</v>
      </c>
    </row>
    <row r="22" spans="1:10" ht="16.5" thickBot="1" x14ac:dyDescent="0.3">
      <c r="A22" s="64">
        <f>Planilha!A22</f>
        <v>3</v>
      </c>
      <c r="B22" s="233" t="str">
        <f>Planilha!B22</f>
        <v>INFRAESTRUTURA</v>
      </c>
      <c r="C22" s="234"/>
      <c r="D22" s="234"/>
      <c r="E22" s="234"/>
      <c r="F22" s="234"/>
      <c r="G22" s="234"/>
      <c r="H22" s="234"/>
      <c r="I22" s="234"/>
      <c r="J22" s="235"/>
    </row>
    <row r="23" spans="1:10" ht="22.15" customHeight="1" x14ac:dyDescent="0.25">
      <c r="A23" s="70" t="str">
        <f>Planilha!A23</f>
        <v>SINAPI</v>
      </c>
      <c r="B23" s="71">
        <f>Planilha!B23</f>
        <v>92800</v>
      </c>
      <c r="C23" s="72" t="str">
        <f>Planilha!C23</f>
        <v>3.1</v>
      </c>
      <c r="D23" s="73" t="str">
        <f>Planilha!D23</f>
        <v xml:space="preserve"> CORTE E DOBRA DE AÇO CA-60, DIÂMETRO DE 5,0 MM. AF_06/2022</v>
      </c>
      <c r="E23" s="71" t="str">
        <f>Planilha!E23</f>
        <v>Kg</v>
      </c>
      <c r="F23" s="222" t="s">
        <v>148</v>
      </c>
      <c r="G23" s="222"/>
      <c r="H23" s="223" t="s">
        <v>149</v>
      </c>
      <c r="I23" s="223"/>
      <c r="J23" s="75">
        <v>10</v>
      </c>
    </row>
    <row r="24" spans="1:10" ht="54" customHeight="1" x14ac:dyDescent="0.25">
      <c r="A24" s="70" t="str">
        <f>Planilha!A24</f>
        <v>SINAPI</v>
      </c>
      <c r="B24" s="71">
        <f>Planilha!B24</f>
        <v>92801</v>
      </c>
      <c r="C24" s="72" t="str">
        <f>Planilha!C24</f>
        <v>3.2</v>
      </c>
      <c r="D24" s="73" t="str">
        <f>Planilha!D24</f>
        <v xml:space="preserve">CORTE E DOBRA DE AÇO CA-50, DIÂMETRO DE 6,3 MM. AF_06/2022 </v>
      </c>
      <c r="E24" s="71" t="str">
        <f>Planilha!E24</f>
        <v>Kg</v>
      </c>
      <c r="F24" s="222" t="s">
        <v>148</v>
      </c>
      <c r="G24" s="222"/>
      <c r="H24" s="223" t="s">
        <v>150</v>
      </c>
      <c r="I24" s="223"/>
      <c r="J24" s="75">
        <f>6+21+14</f>
        <v>41</v>
      </c>
    </row>
    <row r="25" spans="1:10" ht="15.75" x14ac:dyDescent="0.25">
      <c r="A25" s="70" t="str">
        <f>Planilha!A25</f>
        <v>SINAPI</v>
      </c>
      <c r="B25" s="71">
        <f>Planilha!B25</f>
        <v>92802</v>
      </c>
      <c r="C25" s="72" t="str">
        <f>Planilha!C25</f>
        <v>3.3</v>
      </c>
      <c r="D25" s="73" t="str">
        <f>Planilha!D25</f>
        <v>CORTE E DOBRA DE AÇO CA-50, DIÂMETRO DE 8,0 MM. AF_06/2022</v>
      </c>
      <c r="E25" s="71" t="str">
        <f>Planilha!E25</f>
        <v>Kg</v>
      </c>
      <c r="F25" s="222" t="s">
        <v>148</v>
      </c>
      <c r="G25" s="222"/>
      <c r="H25" s="224" t="s">
        <v>151</v>
      </c>
      <c r="I25" s="225"/>
      <c r="J25" s="75">
        <v>17</v>
      </c>
    </row>
    <row r="26" spans="1:10" ht="15.75" x14ac:dyDescent="0.25">
      <c r="A26" s="70" t="str">
        <f>Planilha!A26</f>
        <v>SINAPI</v>
      </c>
      <c r="B26" s="71">
        <f>Planilha!B26</f>
        <v>92803</v>
      </c>
      <c r="C26" s="72" t="str">
        <f>Planilha!C26</f>
        <v>3.4</v>
      </c>
      <c r="D26" s="73" t="str">
        <f>Planilha!D26</f>
        <v>CORTE E DOBRA DE AÇO CA-50, DIÂMETRO DE 10,0 MM. AF_06/2022</v>
      </c>
      <c r="E26" s="71" t="str">
        <f>Planilha!E26</f>
        <v>Kg</v>
      </c>
      <c r="F26" s="222" t="s">
        <v>148</v>
      </c>
      <c r="G26" s="222"/>
      <c r="H26" s="224" t="s">
        <v>152</v>
      </c>
      <c r="I26" s="225"/>
      <c r="J26" s="75">
        <v>149</v>
      </c>
    </row>
    <row r="27" spans="1:10" ht="81" customHeight="1" x14ac:dyDescent="0.25">
      <c r="A27" s="70" t="str">
        <f>Planilha!A27</f>
        <v>SINAPI</v>
      </c>
      <c r="B27" s="71">
        <f>Planilha!B27</f>
        <v>92804</v>
      </c>
      <c r="C27" s="72" t="str">
        <f>Planilha!C27</f>
        <v>3.5</v>
      </c>
      <c r="D27" s="73" t="str">
        <f>Planilha!D27</f>
        <v>CORTE E DOBRA DE AÇO CA-50, DIÂMETRO DE 12,5 MM. AF_06/2022</v>
      </c>
      <c r="E27" s="71" t="str">
        <f>Planilha!E27</f>
        <v>Kg</v>
      </c>
      <c r="F27" s="222" t="s">
        <v>148</v>
      </c>
      <c r="G27" s="222"/>
      <c r="H27" s="224" t="s">
        <v>153</v>
      </c>
      <c r="I27" s="225"/>
      <c r="J27" s="75">
        <f>68+47+69+86</f>
        <v>270</v>
      </c>
    </row>
    <row r="28" spans="1:10" ht="30" x14ac:dyDescent="0.25">
      <c r="A28" s="70" t="str">
        <f>Planilha!A28</f>
        <v>SINAPI</v>
      </c>
      <c r="B28" s="71">
        <f>Planilha!B28</f>
        <v>101619</v>
      </c>
      <c r="C28" s="72" t="str">
        <f>Planilha!C28</f>
        <v>3.6</v>
      </c>
      <c r="D28" s="73" t="str">
        <f>Planilha!D28</f>
        <v>PREPARO DE FUNDO DE VALA COM LARGURA MENOR QUE 1,5 M, COM CAMADA DE BRITA, LANÇAMENTO MANUAL. AF_08/2020</v>
      </c>
      <c r="E28" s="71" t="str">
        <f>Planilha!E28</f>
        <v>m³</v>
      </c>
      <c r="F28" s="222" t="s">
        <v>148</v>
      </c>
      <c r="G28" s="222"/>
      <c r="H28" s="223" t="s">
        <v>154</v>
      </c>
      <c r="I28" s="223"/>
      <c r="J28" s="75">
        <f>1.4*0.5*0.05*10</f>
        <v>0.35</v>
      </c>
    </row>
    <row r="29" spans="1:10" ht="30" x14ac:dyDescent="0.25">
      <c r="A29" s="70" t="str">
        <f>Planilha!A29</f>
        <v>SINAPI</v>
      </c>
      <c r="B29" s="71">
        <f>Planilha!B29</f>
        <v>96619</v>
      </c>
      <c r="C29" s="72" t="str">
        <f>Planilha!C29</f>
        <v>3.7</v>
      </c>
      <c r="D29" s="73" t="str">
        <f>Planilha!D29</f>
        <v xml:space="preserve"> LASTRO DE CONCRETO MAGRO, APLICADO EM BLOCOS DE COROAMENTO OU SAPATAS, ESPESSURA DE 5 CM. AF_01/2024</v>
      </c>
      <c r="E29" s="71" t="str">
        <f>Planilha!E29</f>
        <v>m²</v>
      </c>
      <c r="F29" s="222" t="s">
        <v>148</v>
      </c>
      <c r="G29" s="222"/>
      <c r="H29" s="223" t="s">
        <v>156</v>
      </c>
      <c r="I29" s="223"/>
      <c r="J29" s="75">
        <f>1.4*0.5*10</f>
        <v>7</v>
      </c>
    </row>
    <row r="30" spans="1:10" ht="94.15" customHeight="1" x14ac:dyDescent="0.25">
      <c r="A30" s="70" t="str">
        <f>Planilha!A30</f>
        <v>SUDECAP</v>
      </c>
      <c r="B30" s="71" t="str">
        <f>Planilha!B30</f>
        <v xml:space="preserve"> 06.05.25</v>
      </c>
      <c r="C30" s="72" t="str">
        <f>Planilha!C30</f>
        <v>3.8</v>
      </c>
      <c r="D30" s="73" t="str">
        <f>Planilha!D30</f>
        <v>FCK &gt;= 25 MPA, BRITA CALCÁRIA, PREPARADO EM OBRA E LANÇADO EM ESTRUTURA (CONCRETO CONVENCIONAL B1,B2 LANÇADO EM ESTRUTURA) - Blocos, Pilares e vigas de fundação</v>
      </c>
      <c r="E30" s="71" t="str">
        <f>Planilha!E30</f>
        <v>m³</v>
      </c>
      <c r="F30" s="222" t="s">
        <v>159</v>
      </c>
      <c r="G30" s="222"/>
      <c r="H30" s="223" t="s">
        <v>158</v>
      </c>
      <c r="I30" s="223"/>
      <c r="J30" s="75">
        <f>(1.4*0.5*0.3+0.3*0.3*0.5+0.5*0.25*0.67+0.5*0.25*0.73+0.25*0.5*0.83+0.25*0.25*0.5)*10</f>
        <v>5.6499999999999995</v>
      </c>
    </row>
    <row r="31" spans="1:10" ht="132.6" customHeight="1" x14ac:dyDescent="0.25">
      <c r="A31" s="70" t="str">
        <f>Planilha!A31</f>
        <v>SUDECAP</v>
      </c>
      <c r="B31" s="71">
        <f>Planilha!B31</f>
        <v>104737</v>
      </c>
      <c r="C31" s="72" t="str">
        <f>Planilha!C31</f>
        <v>3.9</v>
      </c>
      <c r="D31" s="73" t="str">
        <f>Planilha!D31</f>
        <v xml:space="preserve"> REATERRO MANUAL DE VALAS, COM PLACA VIBRATÓRIA. AF_08/2023 </v>
      </c>
      <c r="E31" s="71" t="str">
        <f>Planilha!E31</f>
        <v>m³</v>
      </c>
      <c r="F31" s="222" t="s">
        <v>143</v>
      </c>
      <c r="G31" s="222"/>
      <c r="H31" s="223" t="s">
        <v>160</v>
      </c>
      <c r="I31" s="223"/>
      <c r="J31" s="75">
        <f>1.5*1.5*1-(0.3*0.3*0.5+0.5*0.25*0.67+0.5*0.25*0.73+0.25*0.5*0.83+0.25*0.25*0.5)</f>
        <v>1.895</v>
      </c>
    </row>
    <row r="32" spans="1:10" ht="30.75" thickBot="1" x14ac:dyDescent="0.3">
      <c r="A32" s="70" t="str">
        <f>Planilha!A32</f>
        <v>SUDECAP</v>
      </c>
      <c r="B32" s="71" t="str">
        <f>Planilha!B32</f>
        <v xml:space="preserve"> 06.05.25</v>
      </c>
      <c r="C32" s="72" t="str">
        <f>Planilha!C32</f>
        <v>3.10</v>
      </c>
      <c r="D32" s="73" t="str">
        <f>Planilha!D32</f>
        <v>FCK &gt;= 25 MPA, BRITA CALCÁRIA, PREPARADO EM OBRA E LANÇADO EM ESTRUTURA (CONCRETO CONVENCIONAL B1,B2 LANÇADO EM ESTRUTURA) - Piso</v>
      </c>
      <c r="E32" s="71" t="str">
        <f>Planilha!E32</f>
        <v>m³</v>
      </c>
      <c r="F32" s="222"/>
      <c r="G32" s="222"/>
      <c r="H32" s="223" t="s">
        <v>161</v>
      </c>
      <c r="I32" s="223"/>
      <c r="J32" s="75">
        <f>1.5*1.5*0.1*8+1.5*1.5*0.25*2</f>
        <v>2.9249999999999998</v>
      </c>
    </row>
    <row r="33" spans="1:10" ht="16.5" thickBot="1" x14ac:dyDescent="0.3">
      <c r="A33" s="64">
        <f>Planilha!A33</f>
        <v>4</v>
      </c>
      <c r="B33" s="233" t="str">
        <f>Planilha!B33</f>
        <v>REFORÇO METÁLICO</v>
      </c>
      <c r="C33" s="234"/>
      <c r="D33" s="234"/>
      <c r="E33" s="234"/>
      <c r="F33" s="234"/>
      <c r="G33" s="234"/>
      <c r="H33" s="234"/>
      <c r="I33" s="234"/>
      <c r="J33" s="235"/>
    </row>
    <row r="34" spans="1:10" ht="75.599999999999994" customHeight="1" x14ac:dyDescent="0.25">
      <c r="A34" s="70" t="str">
        <f>Planilha!A34</f>
        <v>SETOP</v>
      </c>
      <c r="B34" s="71" t="str">
        <f>Planilha!B34</f>
        <v>ED-49664</v>
      </c>
      <c r="C34" s="72" t="str">
        <f>Planilha!C34</f>
        <v>4.1</v>
      </c>
      <c r="D34" s="73" t="str">
        <f>Planilha!D34</f>
        <v>FORNECIMENTO DE ESTRUTURA METÁLICA EM PERFIL LAMINADO, INCLUSIVE FABRICAÇÃO, TRANSPORTE, MONTAGEM E APLICAÇÃO DE FUNDO PREPARADOR ANTICORROSIVO EM SUPERFÍCIE METÁLICA, UMA (1) DEMÃO - Chapas</v>
      </c>
      <c r="E34" s="71" t="str">
        <f>Planilha!E34</f>
        <v>KG</v>
      </c>
      <c r="F34" s="222" t="s">
        <v>180</v>
      </c>
      <c r="G34" s="222"/>
      <c r="H34" s="223" t="s">
        <v>247</v>
      </c>
      <c r="I34" s="223"/>
      <c r="J34" s="75">
        <f>1.41+3.47+5.85+8.33+10.1+54.51+29.89+51.2+11.7+28.6+5.85+28.6</f>
        <v>239.50999999999996</v>
      </c>
    </row>
    <row r="35" spans="1:10" ht="58.15" customHeight="1" x14ac:dyDescent="0.25">
      <c r="A35" s="70" t="str">
        <f>Planilha!A35</f>
        <v>SINAPI</v>
      </c>
      <c r="B35" s="71">
        <f>Planilha!B35</f>
        <v>43082</v>
      </c>
      <c r="C35" s="72" t="str">
        <f>Planilha!C35</f>
        <v>4.2</v>
      </c>
      <c r="D35" s="73" t="str">
        <f>Planilha!D35</f>
        <v>PERFIL "I" OU "W" EM ACO LAMINADO, QUAISQUER DIMENSOES</v>
      </c>
      <c r="E35" s="71" t="str">
        <f>Planilha!E35</f>
        <v>KG</v>
      </c>
      <c r="F35" s="222" t="s">
        <v>180</v>
      </c>
      <c r="G35" s="222"/>
      <c r="H35" s="223" t="s">
        <v>186</v>
      </c>
      <c r="I35" s="223"/>
      <c r="J35" s="75">
        <f>(10*3.34)*13+(2*6.31+2*6.06+2*2.81+2*7.78+2*6.65)*32.7+(6.31+6.06+2.81+7.78+6.65)*13</f>
        <v>2755.6239999999998</v>
      </c>
    </row>
    <row r="36" spans="1:10" ht="58.15" customHeight="1" x14ac:dyDescent="0.25">
      <c r="A36" s="70"/>
      <c r="B36" s="71" t="str">
        <f>Planilha!B36</f>
        <v>ED-49664</v>
      </c>
      <c r="C36" s="72" t="str">
        <f>Planilha!C36</f>
        <v>4.3</v>
      </c>
      <c r="D36" s="73" t="str">
        <f>Planilha!D36</f>
        <v>FORNECIMENTO DE ESTRUTURA METÁLICA EM PERFIL LAMINADO, INCLUSIVE FABRICAÇÃO, TRANSPORTE, MONTAGEM E APLICAÇÃO DE FUNDO PREPARADOR ANTICORROSIVO EM SUPERFÍCIE METÁLICA, UMA (1) DEMÃO - Chapas</v>
      </c>
      <c r="E36" s="71" t="str">
        <f>Planilha!E36</f>
        <v>KG</v>
      </c>
      <c r="F36" s="222" t="s">
        <v>180</v>
      </c>
      <c r="G36" s="222"/>
      <c r="H36" s="223" t="s">
        <v>181</v>
      </c>
      <c r="I36" s="223"/>
      <c r="J36" s="75">
        <f>2.83+6.83+11.33+24.41+3.67+3.67</f>
        <v>52.740000000000009</v>
      </c>
    </row>
    <row r="37" spans="1:10" ht="45" customHeight="1" x14ac:dyDescent="0.25">
      <c r="A37" s="70" t="str">
        <f>Planilha!A37</f>
        <v>SINAPI</v>
      </c>
      <c r="B37" s="71">
        <f>Planilha!B37</f>
        <v>11790</v>
      </c>
      <c r="C37" s="72" t="str">
        <f>Planilha!C37</f>
        <v>4.4</v>
      </c>
      <c r="D37" s="73" t="str">
        <f>Planilha!D37</f>
        <v>PARAFUSO M16 EM ACO GALVANIZADO, COMPRIMENTO = 450 MM, DIAMETRO = 16 MM,
 ROSCA MAQUINA, CABECA QUADRADA</v>
      </c>
      <c r="E37" s="71" t="str">
        <f>Planilha!E37</f>
        <v>UN</v>
      </c>
      <c r="F37" s="222" t="s">
        <v>180</v>
      </c>
      <c r="G37" s="222"/>
      <c r="H37" s="223" t="s">
        <v>182</v>
      </c>
      <c r="I37" s="223"/>
      <c r="J37" s="75">
        <f>40+9</f>
        <v>49</v>
      </c>
    </row>
    <row r="38" spans="1:10" ht="73.900000000000006" customHeight="1" x14ac:dyDescent="0.25">
      <c r="A38" s="70"/>
      <c r="B38" s="71">
        <f>Planilha!B38</f>
        <v>428</v>
      </c>
      <c r="C38" s="72" t="str">
        <f>Planilha!C38</f>
        <v>4.5</v>
      </c>
      <c r="D38" s="73" t="str">
        <f>Planilha!D38</f>
        <v>PARAFUSO M16 EM ACO GALVANIZADO, COMPRIMENTO = 500 MM, DIAMETRO = 16 MM,
 ROSCA MAQUINA, COM CABECA SEXTAVADA E PORCA</v>
      </c>
      <c r="E38" s="71" t="str">
        <f>Planilha!E38</f>
        <v>UN</v>
      </c>
      <c r="F38" s="222" t="s">
        <v>180</v>
      </c>
      <c r="G38" s="222"/>
      <c r="H38" s="223" t="s">
        <v>185</v>
      </c>
      <c r="I38" s="223"/>
      <c r="J38" s="75">
        <f>96+24+108+18+54</f>
        <v>300</v>
      </c>
    </row>
    <row r="39" spans="1:10" ht="43.9" customHeight="1" x14ac:dyDescent="0.25">
      <c r="A39" s="70" t="str">
        <f>Planilha!A39</f>
        <v>SINAPI</v>
      </c>
      <c r="B39" s="71">
        <f>Planilha!B39</f>
        <v>4340</v>
      </c>
      <c r="C39" s="72" t="str">
        <f>Planilha!C39</f>
        <v>4.6</v>
      </c>
      <c r="D39" s="73" t="str">
        <f>Planilha!D39</f>
        <v>PORCA ZINCADA, SEXTAVADA, DIAMETRO 5/8"</v>
      </c>
      <c r="E39" s="71" t="str">
        <f>Planilha!E39</f>
        <v xml:space="preserve">UN </v>
      </c>
      <c r="F39" s="222" t="s">
        <v>180</v>
      </c>
      <c r="G39" s="222"/>
      <c r="H39" s="223" t="s">
        <v>183</v>
      </c>
      <c r="I39" s="223"/>
      <c r="J39" s="75">
        <f>160+18</f>
        <v>178</v>
      </c>
    </row>
    <row r="40" spans="1:10" ht="43.9" customHeight="1" x14ac:dyDescent="0.25">
      <c r="A40" s="70"/>
      <c r="B40" s="71">
        <f>Planilha!B40</f>
        <v>11267</v>
      </c>
      <c r="C40" s="72" t="str">
        <f>Planilha!C40</f>
        <v>4.7</v>
      </c>
      <c r="D40" s="73" t="str">
        <f>Planilha!D40</f>
        <v>ARRUELA LISA, REDONDA, DE LATAO POLIDO, DIAMETRO NOMINAL 5/8", DIAMETRO EXTERNO
 = 34 MM, DIAMETRO DO FURO = 17 MM, ESPESSURA = *2,5* MM</v>
      </c>
      <c r="E40" s="71" t="str">
        <f>Planilha!E40</f>
        <v xml:space="preserve">UN </v>
      </c>
      <c r="F40" s="222" t="s">
        <v>180</v>
      </c>
      <c r="G40" s="222"/>
      <c r="H40" s="223" t="s">
        <v>184</v>
      </c>
      <c r="I40" s="223"/>
      <c r="J40" s="75">
        <f>320+36</f>
        <v>356</v>
      </c>
    </row>
    <row r="41" spans="1:10" ht="66.599999999999994" customHeight="1" thickBot="1" x14ac:dyDescent="0.3">
      <c r="A41" s="70" t="str">
        <f>Planilha!A41</f>
        <v>SINAPI</v>
      </c>
      <c r="B41" s="71">
        <f>Planilha!B41</f>
        <v>98746</v>
      </c>
      <c r="C41" s="72" t="str">
        <f>Planilha!C41</f>
        <v>4.8</v>
      </c>
      <c r="D41" s="73" t="str">
        <f>Planilha!D41</f>
        <v>SOLDA DE TOPO EM CHAPA/PERFIL/TUBO DE AÇO CHANFRADO, ESPESSURA=1/4'' AF_06/2018</v>
      </c>
      <c r="E41" s="71" t="str">
        <f>Planilha!E41</f>
        <v>m</v>
      </c>
      <c r="F41" s="222" t="s">
        <v>180</v>
      </c>
      <c r="G41" s="222"/>
      <c r="H41" s="223" t="s">
        <v>248</v>
      </c>
      <c r="I41" s="223"/>
      <c r="J41" s="75">
        <f>(39682+4320+26791+1428+3499)/1000+(14040+440+3400+4524)/1000+ (14040+3400+4524)/1000</f>
        <v>120.08799999999999</v>
      </c>
    </row>
    <row r="42" spans="1:10" ht="16.5" thickBot="1" x14ac:dyDescent="0.3">
      <c r="A42" s="64">
        <f>Planilha!A42</f>
        <v>5</v>
      </c>
      <c r="B42" s="233" t="str">
        <f>Planilha!B42</f>
        <v>ACABAMENTO</v>
      </c>
      <c r="C42" s="234"/>
      <c r="D42" s="234"/>
      <c r="E42" s="234"/>
      <c r="F42" s="234"/>
      <c r="G42" s="234"/>
      <c r="H42" s="234"/>
      <c r="I42" s="234"/>
      <c r="J42" s="235"/>
    </row>
    <row r="43" spans="1:10" ht="16.149999999999999" customHeight="1" thickBot="1" x14ac:dyDescent="0.3">
      <c r="A43" s="117" t="str">
        <f>Planilha!A43</f>
        <v>5.1</v>
      </c>
      <c r="B43" s="228" t="str">
        <f>Planilha!B43</f>
        <v>PAREDE LATERAL</v>
      </c>
      <c r="C43" s="229"/>
      <c r="D43" s="229"/>
      <c r="E43" s="229"/>
      <c r="F43" s="229"/>
      <c r="G43" s="229"/>
      <c r="H43" s="229"/>
      <c r="I43" s="229"/>
      <c r="J43" s="230"/>
    </row>
    <row r="44" spans="1:10" ht="132" customHeight="1" x14ac:dyDescent="0.25">
      <c r="A44" s="70" t="str">
        <f>Planilha!A44</f>
        <v>SETOP</v>
      </c>
      <c r="B44" s="71" t="str">
        <f>Planilha!B44</f>
        <v>ED-48232</v>
      </c>
      <c r="C44" s="72" t="str">
        <f>Planilha!C44</f>
        <v>5.1.2</v>
      </c>
      <c r="D44" s="73" t="str">
        <f>Planilha!D44</f>
        <v>ALVENARIA DE VEDAÇÃO COM TIJOLO CERÂMICO FURADO, ESP. 14CM, PARA REVESTIMENTO, INCLUSIVE ARGAMASSA PARA ASSENTAMENTO</v>
      </c>
      <c r="E44" s="71" t="str">
        <f>Planilha!E44</f>
        <v>m²</v>
      </c>
      <c r="F44" s="222" t="s">
        <v>162</v>
      </c>
      <c r="G44" s="222"/>
      <c r="H44" s="223" t="s">
        <v>230</v>
      </c>
      <c r="I44" s="223"/>
      <c r="J44" s="75">
        <f>1.35*2.2</f>
        <v>2.9700000000000006</v>
      </c>
    </row>
    <row r="45" spans="1:10" ht="123.6" customHeight="1" x14ac:dyDescent="0.25">
      <c r="A45" s="70" t="str">
        <f>Planilha!A45</f>
        <v>SUDECAP</v>
      </c>
      <c r="B45" s="71" t="str">
        <f>Planilha!B45</f>
        <v>14.05.05</v>
      </c>
      <c r="C45" s="72" t="str">
        <f>Planilha!C45</f>
        <v>5.1.3</v>
      </c>
      <c r="D45" s="73" t="str">
        <f>Planilha!D45</f>
        <v>CHAPISCO COM ARGAMASSA 1:3 CIM./AREIA, A COLHER</v>
      </c>
      <c r="E45" s="71" t="str">
        <f>Planilha!E45</f>
        <v>m²</v>
      </c>
      <c r="F45" s="222" t="s">
        <v>162</v>
      </c>
      <c r="G45" s="222"/>
      <c r="H45" s="223" t="s">
        <v>231</v>
      </c>
      <c r="I45" s="223"/>
      <c r="J45" s="75">
        <f>1.35*2.2*2</f>
        <v>5.9400000000000013</v>
      </c>
    </row>
    <row r="46" spans="1:10" ht="126.6" customHeight="1" thickBot="1" x14ac:dyDescent="0.3">
      <c r="A46" s="70" t="str">
        <f>Planilha!A46</f>
        <v>SUDECAP</v>
      </c>
      <c r="B46" s="71" t="str">
        <f>Planilha!B46</f>
        <v>14.05.34</v>
      </c>
      <c r="C46" s="72" t="str">
        <f>Planilha!C46</f>
        <v>5.1.4</v>
      </c>
      <c r="D46" s="73" t="str">
        <f>Planilha!D46</f>
        <v>REBOCO COM ARGAMASSA 1:4</v>
      </c>
      <c r="E46" s="71" t="str">
        <f>Planilha!E46</f>
        <v>m²</v>
      </c>
      <c r="F46" s="222" t="s">
        <v>162</v>
      </c>
      <c r="G46" s="222"/>
      <c r="H46" s="223" t="s">
        <v>232</v>
      </c>
      <c r="I46" s="223"/>
      <c r="J46" s="75">
        <f>1.35*2.2*2+0.15*1.35</f>
        <v>6.142500000000001</v>
      </c>
    </row>
    <row r="47" spans="1:10" ht="16.149999999999999" customHeight="1" thickBot="1" x14ac:dyDescent="0.3">
      <c r="A47" s="117" t="str">
        <f>Planilha!A47</f>
        <v>5.2</v>
      </c>
      <c r="B47" s="228" t="str">
        <f>Planilha!B47</f>
        <v>RECUPERAÇÃO DE TRINCAS</v>
      </c>
      <c r="C47" s="229"/>
      <c r="D47" s="229"/>
      <c r="E47" s="229"/>
      <c r="F47" s="229"/>
      <c r="G47" s="229"/>
      <c r="H47" s="229"/>
      <c r="I47" s="229"/>
      <c r="J47" s="230"/>
    </row>
    <row r="48" spans="1:10" ht="205.9" customHeight="1" x14ac:dyDescent="0.25">
      <c r="A48" s="70" t="str">
        <f>Planilha!A48</f>
        <v>SUDECAP</v>
      </c>
      <c r="B48" s="71" t="str">
        <f>Planilha!B48</f>
        <v>02.09.01</v>
      </c>
      <c r="C48" s="72" t="str">
        <f>Planilha!C48</f>
        <v>5.2.1</v>
      </c>
      <c r="D48" s="73" t="str">
        <f>Planilha!D48</f>
        <v>DE REBOCO (DEMOLIÇÃO COM AFASTAMENTO)</v>
      </c>
      <c r="E48" s="71" t="str">
        <f>Planilha!E48</f>
        <v>m²</v>
      </c>
      <c r="F48" s="222" t="s">
        <v>162</v>
      </c>
      <c r="G48" s="222"/>
      <c r="H48" s="223" t="s">
        <v>291</v>
      </c>
      <c r="I48" s="223"/>
      <c r="J48" s="75">
        <f>(3.9+0.4+1+3+4+1+0.9+0.6+0.9+0.7+2.2+2+0.8+2+2+0.8+2+1.15+11.15)*0.9*2</f>
        <v>72.900000000000006</v>
      </c>
    </row>
    <row r="49" spans="1:10" ht="182.45" customHeight="1" x14ac:dyDescent="0.25">
      <c r="A49" s="70" t="str">
        <f>Planilha!A49</f>
        <v>SETOP</v>
      </c>
      <c r="B49" s="71" t="str">
        <f>Planilha!B49</f>
        <v>ED-20754</v>
      </c>
      <c r="C49" s="72" t="str">
        <f>Planilha!C49</f>
        <v>5.2.2</v>
      </c>
      <c r="D49" s="73" t="str">
        <f>Planilha!D49</f>
        <v>TELA SOLDADA PARA LIGAÇÃO E PREVENÇÃO DE TRINCA EM ALVENARIA/ESTRUTURA, INCLUSIVE PINOS DE FIXAÇÃO, EXCLUSIVE REBOCO</v>
      </c>
      <c r="E49" s="71" t="str">
        <f>Planilha!E49</f>
        <v>m²</v>
      </c>
      <c r="F49" s="222" t="s">
        <v>162</v>
      </c>
      <c r="G49" s="222"/>
      <c r="H49" s="223" t="s">
        <v>292</v>
      </c>
      <c r="I49" s="223"/>
      <c r="J49" s="75">
        <f>(3.9+0.4+1+3+4+1+0.9+0.6+0.9+0.7+2.2+2+0.8+2+2+0.8+2+1.15+11.15)*0.2*2</f>
        <v>16.2</v>
      </c>
    </row>
    <row r="50" spans="1:10" ht="177" customHeight="1" x14ac:dyDescent="0.25">
      <c r="A50" s="70" t="str">
        <f>Planilha!A50</f>
        <v>SUDECAP</v>
      </c>
      <c r="B50" s="71" t="str">
        <f>Planilha!B50</f>
        <v>14.05.05</v>
      </c>
      <c r="C50" s="72" t="str">
        <f>Planilha!C50</f>
        <v>5.2.3</v>
      </c>
      <c r="D50" s="73" t="str">
        <f>Planilha!D50</f>
        <v>CHAPISCO COM ARGAMASSA 1:3 CIM./AREIA, A COLHER</v>
      </c>
      <c r="E50" s="71" t="str">
        <f>Planilha!E50</f>
        <v>m²</v>
      </c>
      <c r="F50" s="222" t="s">
        <v>162</v>
      </c>
      <c r="G50" s="222"/>
      <c r="H50" s="223" t="s">
        <v>291</v>
      </c>
      <c r="I50" s="223"/>
      <c r="J50" s="75">
        <f>(3.9+0.4+1+3+4+1+0.9+0.6+0.9+0.7+2.2+2+0.8+2+2+0.8+2+1.15+11.15)*0.9*2</f>
        <v>72.900000000000006</v>
      </c>
    </row>
    <row r="51" spans="1:10" ht="175.15" customHeight="1" thickBot="1" x14ac:dyDescent="0.3">
      <c r="A51" s="70" t="str">
        <f>Planilha!A51</f>
        <v>SUDECAP</v>
      </c>
      <c r="B51" s="71" t="str">
        <f>Planilha!B51</f>
        <v>14.05.34</v>
      </c>
      <c r="C51" s="72" t="str">
        <f>Planilha!C51</f>
        <v>5.2.4</v>
      </c>
      <c r="D51" s="73" t="str">
        <f>Planilha!D51</f>
        <v>REBOCO COM ARGAMASSA 1:4</v>
      </c>
      <c r="E51" s="71" t="str">
        <f>Planilha!E51</f>
        <v>m²</v>
      </c>
      <c r="F51" s="222" t="s">
        <v>162</v>
      </c>
      <c r="G51" s="222"/>
      <c r="H51" s="223" t="s">
        <v>291</v>
      </c>
      <c r="I51" s="223"/>
      <c r="J51" s="75">
        <f>(3.9+0.4+1+3+4+1+0.9+0.6+0.9+0.7+2.2+2+0.8+2+2+0.8+2+1.15+11.15)*0.9*2</f>
        <v>72.900000000000006</v>
      </c>
    </row>
    <row r="52" spans="1:10" ht="16.149999999999999" customHeight="1" thickBot="1" x14ac:dyDescent="0.3">
      <c r="A52" s="117" t="str">
        <f>Planilha!A52</f>
        <v>5.3</v>
      </c>
      <c r="B52" s="228" t="str">
        <f>Planilha!B52</f>
        <v>FORRO</v>
      </c>
      <c r="C52" s="229"/>
      <c r="D52" s="229"/>
      <c r="E52" s="229"/>
      <c r="F52" s="229"/>
      <c r="G52" s="229"/>
      <c r="H52" s="229"/>
      <c r="I52" s="229"/>
      <c r="J52" s="230"/>
    </row>
    <row r="53" spans="1:10" ht="105.6" customHeight="1" thickBot="1" x14ac:dyDescent="0.3">
      <c r="A53" s="70" t="str">
        <f>Planilha!A53</f>
        <v>SINAPI</v>
      </c>
      <c r="B53" s="71">
        <f>Planilha!B53</f>
        <v>96123</v>
      </c>
      <c r="C53" s="72" t="str">
        <f>Planilha!C53</f>
        <v>5.3.1</v>
      </c>
      <c r="D53" s="73" t="str">
        <f>Planilha!D53</f>
        <v>ACABAMENTOS PARA FORRO (MOLDURA EM DRYWALL, COM LARGURA DE 15 CM). AF_08/2023_PS</v>
      </c>
      <c r="E53" s="71" t="str">
        <f>Planilha!E53</f>
        <v>m</v>
      </c>
      <c r="F53" s="222" t="s">
        <v>188</v>
      </c>
      <c r="G53" s="222"/>
      <c r="H53" s="223" t="s">
        <v>187</v>
      </c>
      <c r="I53" s="223"/>
      <c r="J53" s="75">
        <f>2.4+3.6+3.6+2.4+1.7+2.4+2.78+5.8+4.7+4.7</f>
        <v>34.08</v>
      </c>
    </row>
    <row r="54" spans="1:10" ht="16.149999999999999" customHeight="1" thickBot="1" x14ac:dyDescent="0.3">
      <c r="A54" s="117" t="str">
        <f>Planilha!A54</f>
        <v>5.4</v>
      </c>
      <c r="B54" s="228" t="str">
        <f>Planilha!B54</f>
        <v>REVESTIMENTOS</v>
      </c>
      <c r="C54" s="229"/>
      <c r="D54" s="229"/>
      <c r="E54" s="229"/>
      <c r="F54" s="229"/>
      <c r="G54" s="229"/>
      <c r="H54" s="229"/>
      <c r="I54" s="229"/>
      <c r="J54" s="230"/>
    </row>
    <row r="55" spans="1:10" ht="30.75" thickBot="1" x14ac:dyDescent="0.3">
      <c r="A55" s="70" t="str">
        <f>Planilha!A55</f>
        <v>SINAPI</v>
      </c>
      <c r="B55" s="71">
        <f>Planilha!B55</f>
        <v>87247</v>
      </c>
      <c r="C55" s="72" t="str">
        <f>Planilha!C55</f>
        <v>5.4.1</v>
      </c>
      <c r="D55" s="73" t="str">
        <f>Planilha!D55</f>
        <v>REVESTIMENTO CERÂMICO PARA PISO COM PLACAS TIPO ESMALTADA DE DIMENSÕES 35X35 CM APLICADA EM AMBIENTES DE ÁREA ENTRE 5 M2 E 10 M2. AF_02/2023_PE</v>
      </c>
      <c r="E55" s="71" t="str">
        <f>Planilha!E55</f>
        <v>m²</v>
      </c>
      <c r="F55" s="222" t="s">
        <v>164</v>
      </c>
      <c r="G55" s="222"/>
      <c r="H55" s="223" t="s">
        <v>165</v>
      </c>
      <c r="I55" s="223"/>
      <c r="J55" s="75">
        <f>1.5*1.5*2</f>
        <v>4.5</v>
      </c>
    </row>
    <row r="56" spans="1:10" ht="16.149999999999999" customHeight="1" thickBot="1" x14ac:dyDescent="0.3">
      <c r="A56" s="117" t="str">
        <f>Planilha!A56</f>
        <v>5.5</v>
      </c>
      <c r="B56" s="228" t="str">
        <f>Planilha!B56</f>
        <v>PINTURA INTERNA</v>
      </c>
      <c r="C56" s="229"/>
      <c r="D56" s="229"/>
      <c r="E56" s="229"/>
      <c r="F56" s="229"/>
      <c r="G56" s="229"/>
      <c r="H56" s="229"/>
      <c r="I56" s="229"/>
      <c r="J56" s="230"/>
    </row>
    <row r="57" spans="1:10" ht="238.9" customHeight="1" thickBot="1" x14ac:dyDescent="0.3">
      <c r="A57" s="70" t="str">
        <f>Planilha!A57</f>
        <v>SETOP</v>
      </c>
      <c r="B57" s="71" t="str">
        <f>Planilha!B57</f>
        <v xml:space="preserve"> ED-50505</v>
      </c>
      <c r="C57" s="72" t="str">
        <f>Planilha!C57</f>
        <v>5.5.1</v>
      </c>
      <c r="D57" s="73" t="str">
        <f>Planilha!D57</f>
        <v>LIXAMENTO MANUAL EM PAREDE PARA REMOÇÃO DE TINTA</v>
      </c>
      <c r="E57" s="71" t="str">
        <f>Planilha!E57</f>
        <v>m²</v>
      </c>
      <c r="F57" s="226" t="s">
        <v>189</v>
      </c>
      <c r="G57" s="227"/>
      <c r="H57" s="223" t="s">
        <v>303</v>
      </c>
      <c r="I57" s="223"/>
      <c r="J57" s="75">
        <f>(2.78+4.95+2.78+4.95)*3-1.5*1.4-2.1*0.8+(2.75+4.95+2.75+4.95)*3-1.5*1.4-2.1*0.8+((1.7+2.4+1.7+2.4)*1.2-1*0.8-2.1*0.9)*2+(1.8+1.88+1.8+1.88)*1.2-0.8*2.1-1*0.8+(1.88+1.88+3+3)*1.2-0.8*2.1-0.8*1+(1.88+1.88+2.05+2.05)*1.2-0.8*2.1-0.4*1*2+(4.7+4.7+5.8+5.8)*3-2*1.4-3*2.4-0.9*2.1+(4.68+4.68+5.8+5.8)*3-3*2.4-0.9*2.1-0.8*2.1-1.5*1.4+(2.4+2.4+3.6+3.6)*3-0.9*2.1*4-0.8*2.1*2+(12+13.55+12+5.35+2.08+3.5+2.08+2.5)*3-(3*2.4*2+2*1.4*3+0.8*1*4+1.5*1.4+0.4*1*2+0.8*2.1*4)+(14.7+14.7+21.43+24.43+0.26+0.29+1.35)*2.2+(14.25+12+14.25+12)*1.1</f>
        <v>599.11799999999994</v>
      </c>
    </row>
    <row r="58" spans="1:10" ht="218.45" customHeight="1" thickBot="1" x14ac:dyDescent="0.3">
      <c r="A58" s="70" t="str">
        <f>Planilha!A58</f>
        <v>SETOP</v>
      </c>
      <c r="B58" s="71" t="str">
        <f>Planilha!B58</f>
        <v>ED-50506</v>
      </c>
      <c r="C58" s="72" t="str">
        <f>Planilha!C58</f>
        <v>5.5.2</v>
      </c>
      <c r="D58" s="73" t="str">
        <f>Planilha!D58</f>
        <v>LIXAMENTO MANUAL EM TETO PARA REMOÇÃO DE TINTA</v>
      </c>
      <c r="E58" s="71" t="str">
        <f>Planilha!E58</f>
        <v>m²</v>
      </c>
      <c r="F58" s="226" t="s">
        <v>162</v>
      </c>
      <c r="G58" s="227"/>
      <c r="H58" s="248" t="s">
        <v>266</v>
      </c>
      <c r="I58" s="249"/>
      <c r="J58" s="75">
        <f>2.78*4.95+2.75*4.95+(1.7*2.4)*2+1.8*1.88+1.88*3+1.88*2.05+4.7*5.8+4.68*5.8+2.4*3.6+12*2.9+2.08*3.5+(15.25+15.25+12+12)*0.5</f>
        <v>180.78550000000001</v>
      </c>
    </row>
    <row r="59" spans="1:10" ht="180" customHeight="1" thickBot="1" x14ac:dyDescent="0.3">
      <c r="A59" s="70" t="str">
        <f>Planilha!A59</f>
        <v>SUDECAP</v>
      </c>
      <c r="B59" s="71" t="str">
        <f>Planilha!B59</f>
        <v>17.04.03</v>
      </c>
      <c r="C59" s="72" t="str">
        <f>Planilha!C59</f>
        <v>5.5.3</v>
      </c>
      <c r="D59" s="73" t="str">
        <f>Planilha!D59</f>
        <v xml:space="preserve"> EMASSAMENTO COM MASSA PVA E LIXAMENTO EM PAREDES INTERNAS, UMA DEMÃO REF 88495 - Trincas recuperadas</v>
      </c>
      <c r="E59" s="71" t="str">
        <f>Planilha!E59</f>
        <v>m²</v>
      </c>
      <c r="F59" s="226" t="s">
        <v>189</v>
      </c>
      <c r="G59" s="227"/>
      <c r="H59" s="223" t="s">
        <v>290</v>
      </c>
      <c r="I59" s="223"/>
      <c r="J59" s="75">
        <f>(3.9+0.4+1+3+3+4+4+1+1+0.9+0.6+0.9+0.7)*0.9</f>
        <v>21.96</v>
      </c>
    </row>
    <row r="60" spans="1:10" ht="274.14999999999998" customHeight="1" thickBot="1" x14ac:dyDescent="0.3">
      <c r="A60" s="70" t="str">
        <f>Planilha!A60</f>
        <v>SUDECAP</v>
      </c>
      <c r="B60" s="71" t="str">
        <f>Planilha!B60</f>
        <v>17.04.06</v>
      </c>
      <c r="C60" s="72" t="str">
        <f>Planilha!C60</f>
        <v>5.5.4</v>
      </c>
      <c r="D60" s="73" t="str">
        <f>Planilha!D60</f>
        <v>APLICAÇÃO MANUAL DE FUNDO SELADOR ACRÍLICO EM PAREDES INTERNAS REF 88485 - Trincas Recuperadas e tinta descascada</v>
      </c>
      <c r="E60" s="71" t="str">
        <f>Planilha!E60</f>
        <v>m²</v>
      </c>
      <c r="F60" s="226" t="s">
        <v>189</v>
      </c>
      <c r="G60" s="227"/>
      <c r="H60" s="223" t="s">
        <v>294</v>
      </c>
      <c r="I60" s="223"/>
      <c r="J60" s="75">
        <f>(3.9+0.4+1+3+3+4+4+1+1+0.9+0.6+0.9+0.7)*0.9+(2.97+2.78+1.94+0.63+2.4+0.2+0.68+1.97+2.95+2.75+0.79+5.8+3.65+6+0.91)*0.2+(0.86+6+3.63+2.47+2.43+0.81)*0.35</f>
        <v>34.914000000000001</v>
      </c>
    </row>
    <row r="61" spans="1:10" ht="169.9" customHeight="1" thickBot="1" x14ac:dyDescent="0.3">
      <c r="A61" s="70" t="str">
        <f>Planilha!A61</f>
        <v>SUDECAP</v>
      </c>
      <c r="B61" s="71" t="str">
        <f>Planilha!B61</f>
        <v>17.04.22</v>
      </c>
      <c r="C61" s="72" t="str">
        <f>Planilha!C61</f>
        <v>5.5.5</v>
      </c>
      <c r="D61" s="73" t="str">
        <f>Planilha!D61</f>
        <v>PINTURA COM TINTA ACRÍLICA FOSCA EM PAREDES INTERNAS, APLICAÇÃO MANUAL, DUAS DEMÃOS REF 88489</v>
      </c>
      <c r="E61" s="71" t="str">
        <f>Planilha!E61</f>
        <v>m²</v>
      </c>
      <c r="F61" s="226" t="s">
        <v>189</v>
      </c>
      <c r="G61" s="227"/>
      <c r="H61" s="223" t="s">
        <v>265</v>
      </c>
      <c r="I61" s="223"/>
      <c r="J61" s="75">
        <f>(2.78+4.95+2.78+4.95)*3-1.5*1.4-2.1*0.8+(2.75+4.95+2.75+4.95)*3-1.5*1.4-2.1*0.8+((1.7+2.4+1.7+2.4)*1.2-1*0.8-2.1*0.9)*2+(1.8+1.88+1.8+1.88)*1.2-0.8*2.1-1*0.8+(1.88+1.88+3+3)*1.2-0.8*2.1-0.8*1+(1.88+1.88+2.05+2.05)*1.2-0.8*2.1-0.4*1*2+(4.7+4.7+5.8+5.8)*3-2*1.4-3*2.4-0.9*2.1+(4.68+4.68+5.8+5.8)*3-3*2.4-0.9*2.1-0.8*2.1-1.5*1.4+(2.4+2.4+3.6+3.6)*3-0.9*2.1*4-0.8*2.1*2</f>
        <v>248.05599999999998</v>
      </c>
    </row>
    <row r="62" spans="1:10" ht="200.45" customHeight="1" thickBot="1" x14ac:dyDescent="0.3">
      <c r="A62" s="70" t="str">
        <f>Planilha!A62</f>
        <v>SUDECAP</v>
      </c>
      <c r="B62" s="71" t="str">
        <f>Planilha!B62</f>
        <v>17.04.21</v>
      </c>
      <c r="C62" s="72" t="str">
        <f>Planilha!C62</f>
        <v>5.5.6</v>
      </c>
      <c r="D62" s="73" t="str">
        <f>Planilha!D62</f>
        <v xml:space="preserve"> PINTURA COM TINTA ACRÍLICA FOSCA EM TETOS DE ÁREAS INTERNAS, APLICAÇÃO MANUAL, DUAS DEMÃOS REF 88488</v>
      </c>
      <c r="E62" s="71" t="str">
        <f>Planilha!E62</f>
        <v>m²</v>
      </c>
      <c r="F62" s="226" t="s">
        <v>162</v>
      </c>
      <c r="G62" s="227"/>
      <c r="H62" s="248" t="s">
        <v>266</v>
      </c>
      <c r="I62" s="249"/>
      <c r="J62" s="75">
        <f>2.78*4.95+2.75*4.95+(1.7*2.4)*2+1.8*1.88+1.88*3+1.88*2.05+4.7*5.8+4.68*5.8+2.4*3.6+12*2.9+2.08*3.5+(15.25+15.25+12+12)*0.5</f>
        <v>180.78550000000001</v>
      </c>
    </row>
    <row r="63" spans="1:10" ht="16.149999999999999" customHeight="1" thickBot="1" x14ac:dyDescent="0.3">
      <c r="A63" s="117" t="str">
        <f>Planilha!A63</f>
        <v>5.6</v>
      </c>
      <c r="B63" s="228" t="str">
        <f>Planilha!B63</f>
        <v>PINTURA EXTERNA</v>
      </c>
      <c r="C63" s="229"/>
      <c r="D63" s="229"/>
      <c r="E63" s="229"/>
      <c r="F63" s="229"/>
      <c r="G63" s="229"/>
      <c r="H63" s="229"/>
      <c r="I63" s="229"/>
      <c r="J63" s="230"/>
    </row>
    <row r="64" spans="1:10" ht="115.15" customHeight="1" thickBot="1" x14ac:dyDescent="0.3">
      <c r="A64" s="70" t="str">
        <f>Planilha!A64</f>
        <v>SUDECAP</v>
      </c>
      <c r="B64" s="71" t="str">
        <f>Planilha!B64</f>
        <v>17.03.05</v>
      </c>
      <c r="C64" s="72" t="str">
        <f>Planilha!C64</f>
        <v>5.6.2</v>
      </c>
      <c r="D64" s="73" t="str">
        <f>Planilha!D64</f>
        <v>APLICAÇÃO MANUAL DE FUNDO SELADOR ACRÍLICO EM PAREDES EXTERNAS REF 88415 - Trincas recuperadas</v>
      </c>
      <c r="E64" s="71" t="str">
        <f>Planilha!E64</f>
        <v>m²</v>
      </c>
      <c r="F64" s="226" t="s">
        <v>189</v>
      </c>
      <c r="G64" s="227"/>
      <c r="H64" s="223" t="s">
        <v>293</v>
      </c>
      <c r="I64" s="223"/>
      <c r="J64" s="75">
        <f>(3.9+0.4+1+0.9+0.6+0.9+0.7+2.2+2.2+11.15)*0.9</f>
        <v>21.555000000000003</v>
      </c>
    </row>
    <row r="65" spans="1:10" ht="58.15" customHeight="1" thickBot="1" x14ac:dyDescent="0.3">
      <c r="A65" s="70" t="str">
        <f>Planilha!A65</f>
        <v>SUDECAP</v>
      </c>
      <c r="B65" s="71" t="str">
        <f>Planilha!B65</f>
        <v>17.03.21</v>
      </c>
      <c r="C65" s="72" t="str">
        <f>Planilha!C65</f>
        <v>5.6.3</v>
      </c>
      <c r="D65" s="73" t="str">
        <f>Planilha!D65</f>
        <v>PINTURA COM TINTA ACRÍLICA FOSCA EM PAREDES EXTERNAS, APLICAÇÃO MANUAL, DUAS DEMÃOS REF 95626</v>
      </c>
      <c r="E65" s="71" t="str">
        <f>Planilha!E65</f>
        <v>m²</v>
      </c>
      <c r="F65" s="226" t="s">
        <v>189</v>
      </c>
      <c r="G65" s="227"/>
      <c r="H65" s="223" t="s">
        <v>267</v>
      </c>
      <c r="I65" s="223"/>
      <c r="J65" s="75">
        <f>(12+13.55+12+5.35+2.08+3.5+2.08+2.5)*3-(3*2.4*2+2*1.4*3+0.8*1*4+1.5*1.4+0.4*1*2+0.8*2.1*4)+(14.7+14.7+21.43+24.43+0.26+0.29+1.35)*2.2+(14.25+12+14.25+12)*1.1</f>
        <v>351.06200000000001</v>
      </c>
    </row>
    <row r="66" spans="1:10" ht="16.149999999999999" customHeight="1" thickBot="1" x14ac:dyDescent="0.3">
      <c r="A66" s="117" t="str">
        <f>Planilha!A66</f>
        <v>5.7</v>
      </c>
      <c r="B66" s="228" t="str">
        <f>Planilha!B66</f>
        <v>PINTURA METÁLICA</v>
      </c>
      <c r="C66" s="229"/>
      <c r="D66" s="229"/>
      <c r="E66" s="229"/>
      <c r="F66" s="229"/>
      <c r="G66" s="229"/>
      <c r="H66" s="229"/>
      <c r="I66" s="229"/>
      <c r="J66" s="230"/>
    </row>
    <row r="67" spans="1:10" ht="96" customHeight="1" thickBot="1" x14ac:dyDescent="0.3">
      <c r="A67" s="70" t="str">
        <f>Planilha!A67</f>
        <v>SUDECAP</v>
      </c>
      <c r="B67" s="71" t="str">
        <f>Planilha!B67</f>
        <v xml:space="preserve"> 17.08.01</v>
      </c>
      <c r="C67" s="72" t="str">
        <f>Planilha!C67</f>
        <v>5.7.1</v>
      </c>
      <c r="D67" s="73" t="str">
        <f>Planilha!D67</f>
        <v>PREPARO DA SUPERFÍCIE METÁLICA PARA PINTURA - LIXAMENTO MANUAL REF 100717</v>
      </c>
      <c r="E67" s="71" t="str">
        <f>Planilha!E67</f>
        <v>m²</v>
      </c>
      <c r="F67" s="226" t="s">
        <v>189</v>
      </c>
      <c r="G67" s="227"/>
      <c r="H67" s="223" t="s">
        <v>268</v>
      </c>
      <c r="I67" s="223"/>
      <c r="J67" s="75">
        <f>(10*3.34+6.31+6.06+2.81+7.78+6.65)*0.148*2+(10*3.34+6.31+6.06+2.81+7.78+6.65)*0.1*2+(2*6.31+2*6.06+2*2.81+2*7.78+2*6.65)*0.258*2+(2*6.31+2*6.06+2*2.81+2*7.78+2*6.65)*0.146*2</f>
        <v>79.102720000000005</v>
      </c>
    </row>
    <row r="68" spans="1:10" ht="99.6" customHeight="1" thickBot="1" x14ac:dyDescent="0.3">
      <c r="A68" s="70" t="str">
        <f>Planilha!A68</f>
        <v>SUDECAP</v>
      </c>
      <c r="B68" s="71" t="str">
        <f>Planilha!B68</f>
        <v>17.08.11</v>
      </c>
      <c r="C68" s="72" t="str">
        <f>Planilha!C68</f>
        <v>5.7.2</v>
      </c>
      <c r="D68" s="73" t="str">
        <f>Planilha!D68</f>
        <v>APLICAÇÃO MANUAL DE FUNDO (TIPO ZARCÃO) EM SUPERFÍCIES METÁLICAS (POR DEMÃO) REF 100722</v>
      </c>
      <c r="E68" s="71" t="str">
        <f>Planilha!E68</f>
        <v>m²</v>
      </c>
      <c r="F68" s="226" t="s">
        <v>189</v>
      </c>
      <c r="G68" s="227"/>
      <c r="H68" s="223" t="s">
        <v>268</v>
      </c>
      <c r="I68" s="223"/>
      <c r="J68" s="75">
        <f>(10*3.34+6.31+6.06+2.81+7.78+6.65)*0.148*2+(10*3.34+6.31+6.06+2.81+7.78+6.65)*0.1*2+(2*6.31+2*6.06+2*2.81+2*7.78+2*6.65)*0.258*2+(2*6.31+2*6.06+2*2.81+2*7.78+2*6.65)*0.146*2</f>
        <v>79.102720000000005</v>
      </c>
    </row>
    <row r="69" spans="1:10" ht="103.9" customHeight="1" thickBot="1" x14ac:dyDescent="0.3">
      <c r="A69" s="70" t="str">
        <f>Planilha!A69</f>
        <v>SUDECAP</v>
      </c>
      <c r="B69" s="71" t="str">
        <f>Planilha!B69</f>
        <v>17.08.21</v>
      </c>
      <c r="C69" s="72" t="str">
        <f>Planilha!C69</f>
        <v>5.7.3</v>
      </c>
      <c r="D69" s="73" t="str">
        <f>Planilha!D69</f>
        <v xml:space="preserve"> PINTURA COM ESMALTE SINTÉTICO FOSCO 2 EM 1 (FUNDO E ACABAMENTO) EM SUPERFÍCIE METÁLICA, APLICAÇÃO MANUAL, (POR DEMÃO) REF 100726</v>
      </c>
      <c r="E69" s="71" t="str">
        <f>Planilha!E69</f>
        <v>m²</v>
      </c>
      <c r="F69" s="226" t="s">
        <v>189</v>
      </c>
      <c r="G69" s="227"/>
      <c r="H69" s="223" t="s">
        <v>268</v>
      </c>
      <c r="I69" s="223"/>
      <c r="J69" s="75">
        <f>(10*3.34+6.31+6.06+2.81+7.78+6.65)*0.148*2+(10*3.34+6.31+6.06+2.81+7.78+6.65)*0.1*2+(2*6.31+2*6.06+2*2.81+2*7.78+2*6.65)*0.258*2+(2*6.31+2*6.06+2*2.81+2*7.78+2*6.65)*0.146*2</f>
        <v>79.102720000000005</v>
      </c>
    </row>
    <row r="70" spans="1:10" ht="16.149999999999999" customHeight="1" thickBot="1" x14ac:dyDescent="0.3">
      <c r="A70" s="117" t="str">
        <f>Planilha!A70</f>
        <v>5.8</v>
      </c>
      <c r="B70" s="228" t="str">
        <f>Planilha!B70</f>
        <v>TELHADOS</v>
      </c>
      <c r="C70" s="229"/>
      <c r="D70" s="229"/>
      <c r="E70" s="229"/>
      <c r="F70" s="229"/>
      <c r="G70" s="229"/>
      <c r="H70" s="229"/>
      <c r="I70" s="229"/>
      <c r="J70" s="230"/>
    </row>
    <row r="71" spans="1:10" ht="96" customHeight="1" thickBot="1" x14ac:dyDescent="0.3">
      <c r="A71" s="70" t="str">
        <f>Planilha!A71</f>
        <v>SINAPI</v>
      </c>
      <c r="B71" s="71">
        <f>Planilha!B71</f>
        <v>104803</v>
      </c>
      <c r="C71" s="72" t="str">
        <f>Planilha!C71</f>
        <v>5.8.1</v>
      </c>
      <c r="D71" s="73" t="str">
        <f>Planilha!D71</f>
        <v>REMOÇÃO CALHAS E RUFOS, DE FORMA MANUAL, SEM REAPROVEITAMENTO. AF_09/2023</v>
      </c>
      <c r="E71" s="71" t="str">
        <f>Planilha!E71</f>
        <v>m</v>
      </c>
      <c r="F71" s="226" t="s">
        <v>304</v>
      </c>
      <c r="G71" s="227"/>
      <c r="H71" s="223" t="s">
        <v>307</v>
      </c>
      <c r="I71" s="223"/>
      <c r="J71" s="75">
        <f>15.15+ 15.15+15.15</f>
        <v>45.45</v>
      </c>
    </row>
    <row r="72" spans="1:10" ht="99.6" customHeight="1" thickBot="1" x14ac:dyDescent="0.3">
      <c r="A72" s="70" t="str">
        <f>Planilha!A72</f>
        <v>SETOP</v>
      </c>
      <c r="B72" s="71" t="str">
        <f>Planilha!B72</f>
        <v>ED-50655</v>
      </c>
      <c r="C72" s="72" t="str">
        <f>Planilha!C72</f>
        <v>5.8.2</v>
      </c>
      <c r="D72" s="73" t="str">
        <f>Planilha!D72</f>
        <v>CALHA EM CHAPA GALVANIZADA, ESP. 0,65MM (GSG-24), COM DESENVOLVIMENTO DE 40CM, INCLUSIVE IÇAMENTO MANUAL VERTICAL</v>
      </c>
      <c r="E72" s="71" t="str">
        <f>Planilha!E72</f>
        <v>m</v>
      </c>
      <c r="F72" s="226" t="s">
        <v>304</v>
      </c>
      <c r="G72" s="227"/>
      <c r="H72" s="223"/>
      <c r="I72" s="223"/>
      <c r="J72" s="75">
        <v>15.15</v>
      </c>
    </row>
    <row r="73" spans="1:10" ht="103.9" customHeight="1" thickBot="1" x14ac:dyDescent="0.3">
      <c r="A73" s="70" t="str">
        <f>Planilha!A73</f>
        <v>SETOP</v>
      </c>
      <c r="B73" s="71" t="str">
        <f>Planilha!B73</f>
        <v xml:space="preserve"> ED-50676</v>
      </c>
      <c r="C73" s="72" t="str">
        <f>Planilha!C73</f>
        <v>5.8.3</v>
      </c>
      <c r="D73" s="73" t="str">
        <f>Planilha!D73</f>
        <v>RUFO E CONTRARRUFO EM CHAPA GALVANIZADA, ESP. 0,65MM ( GSG-24), COM DESENVOLVIMENTO DE 20CM, INCLUSIVE IÇAMENTO MANUAL VERTICAL</v>
      </c>
      <c r="E73" s="71" t="str">
        <f>Planilha!E73</f>
        <v>m</v>
      </c>
      <c r="F73" s="226" t="s">
        <v>306</v>
      </c>
      <c r="G73" s="227"/>
      <c r="H73" s="223" t="s">
        <v>280</v>
      </c>
      <c r="I73" s="223"/>
      <c r="J73" s="75">
        <f>15.15+15.15</f>
        <v>30.3</v>
      </c>
    </row>
    <row r="74" spans="1:10" ht="103.9" customHeight="1" thickBot="1" x14ac:dyDescent="0.3">
      <c r="A74" s="70" t="str">
        <f>Planilha!A74</f>
        <v>SETOP</v>
      </c>
      <c r="B74" s="71" t="str">
        <f>Planilha!B74</f>
        <v>ED-50667</v>
      </c>
      <c r="C74" s="72" t="str">
        <f>Planilha!C74</f>
        <v>5.8.4</v>
      </c>
      <c r="D74" s="73" t="str">
        <f>Planilha!D74</f>
        <v>CHAPIM EM CHAPA GALVANIZADA, COM PINGADEIRA, ESP. 0, 65MM (GSG-24), COM DESENVOLVIMENTO DE 35CM, INCLUSIVE IÇAMENTO MANUAL VERTICAL</v>
      </c>
      <c r="E74" s="71" t="str">
        <f>Planilha!E74</f>
        <v>m</v>
      </c>
      <c r="F74" s="246" t="s">
        <v>305</v>
      </c>
      <c r="G74" s="247"/>
      <c r="H74" s="223" t="s">
        <v>281</v>
      </c>
      <c r="I74" s="223"/>
      <c r="J74" s="129">
        <f>15.15+15.15+13.2+13.2</f>
        <v>56.7</v>
      </c>
    </row>
    <row r="75" spans="1:10" ht="16.5" thickBot="1" x14ac:dyDescent="0.3">
      <c r="A75" s="64">
        <f>Planilha!A75</f>
        <v>6</v>
      </c>
      <c r="B75" s="233" t="str">
        <f>Planilha!B75</f>
        <v>PERGOLADO E BANCOS</v>
      </c>
      <c r="C75" s="234"/>
      <c r="D75" s="234"/>
      <c r="E75" s="234"/>
      <c r="F75" s="234"/>
      <c r="G75" s="234"/>
      <c r="H75" s="234"/>
      <c r="I75" s="234"/>
      <c r="J75" s="235"/>
    </row>
    <row r="76" spans="1:10" ht="64.900000000000006" customHeight="1" x14ac:dyDescent="0.25">
      <c r="A76" s="70" t="str">
        <f>Planilha!A76</f>
        <v>SINAPI</v>
      </c>
      <c r="B76" s="71">
        <f>Planilha!B76</f>
        <v>103314</v>
      </c>
      <c r="C76" s="72" t="str">
        <f>Planilha!C76</f>
        <v>6.3</v>
      </c>
      <c r="D76" s="73" t="str">
        <f>Planilha!D76</f>
        <v>FORNECIMENTO E INSTALAÇÃO DE PERGOLADO DE MADEIRA, EM MAÇARANDUBA, ANGELIM OU EQUIVALENTE DA REGIÃO, FIXADO COM CONCRETO SOBRE PISO DE CONCRETO EXISTENTE. AF_11/2021</v>
      </c>
      <c r="E76" s="71" t="str">
        <f>Planilha!E76</f>
        <v>m²</v>
      </c>
      <c r="F76" s="222" t="s">
        <v>311</v>
      </c>
      <c r="G76" s="222"/>
      <c r="H76" s="223" t="s">
        <v>272</v>
      </c>
      <c r="I76" s="223"/>
      <c r="J76" s="75">
        <f>3.3*5.8</f>
        <v>19.139999999999997</v>
      </c>
    </row>
    <row r="77" spans="1:10" ht="64.900000000000006" customHeight="1" x14ac:dyDescent="0.25">
      <c r="A77" s="70" t="str">
        <f>Planilha!A77</f>
        <v>COTAÇÃO</v>
      </c>
      <c r="B77" s="71" t="str">
        <f>Planilha!B77</f>
        <v>-</v>
      </c>
      <c r="C77" s="72" t="str">
        <f>Planilha!C77</f>
        <v>6.4</v>
      </c>
      <c r="D77" s="73" t="str">
        <f>Planilha!D77</f>
        <v>COBERTURA PARA O PERGOLADO EM POLICARBONATO 2050X6000X3mm COR BRANCA COM FILTRO UV</v>
      </c>
      <c r="E77" s="71" t="str">
        <f>Planilha!E77</f>
        <v>m²</v>
      </c>
      <c r="F77" s="222" t="s">
        <v>311</v>
      </c>
      <c r="G77" s="222"/>
      <c r="H77" s="223" t="s">
        <v>272</v>
      </c>
      <c r="I77" s="223"/>
      <c r="J77" s="75">
        <f>3.3*5.8</f>
        <v>19.139999999999997</v>
      </c>
    </row>
    <row r="78" spans="1:10" ht="117" customHeight="1" thickBot="1" x14ac:dyDescent="0.3">
      <c r="A78" s="70" t="str">
        <f>Planilha!A78</f>
        <v>SETOP</v>
      </c>
      <c r="B78" s="71" t="str">
        <f>Planilha!B78</f>
        <v xml:space="preserve"> ED-48532</v>
      </c>
      <c r="C78" s="72" t="str">
        <f>Planilha!C78</f>
        <v>6.5</v>
      </c>
      <c r="D78" s="73" t="str">
        <f>Planilha!D78</f>
        <v>DIVISÓRIA EM ARDÓSIA, ESP. 3CM, INCLUSIVE INSTALAÇÃO, FERRAGENS EM LATÃO CROMADO E ACESSÓRIOS - Bancos</v>
      </c>
      <c r="E78" s="71" t="str">
        <f>Planilha!E78</f>
        <v>m²</v>
      </c>
      <c r="F78" s="222" t="s">
        <v>311</v>
      </c>
      <c r="G78" s="222"/>
      <c r="H78" s="223" t="s">
        <v>287</v>
      </c>
      <c r="I78" s="223"/>
      <c r="J78" s="75">
        <f>4*0.36+4*0.25+0.45*0.7+3*0.36+4*0.25+0.45*0.7+2*0.36+4*0.25+0.45*0.7+1.5*0.36+4*0.25+0.45*0.7</f>
        <v>9.0400000000000009</v>
      </c>
    </row>
    <row r="79" spans="1:10" ht="16.5" thickBot="1" x14ac:dyDescent="0.3">
      <c r="A79" s="64">
        <f>Planilha!A79</f>
        <v>7</v>
      </c>
      <c r="B79" s="233" t="str">
        <f>Planilha!B79</f>
        <v>LIMPEZA FINAL PARA ENTREGA DA OBRA</v>
      </c>
      <c r="C79" s="234"/>
      <c r="D79" s="234"/>
      <c r="E79" s="234"/>
      <c r="F79" s="234"/>
      <c r="G79" s="234"/>
      <c r="H79" s="234"/>
      <c r="I79" s="234"/>
      <c r="J79" s="235"/>
    </row>
    <row r="80" spans="1:10" ht="33.6" customHeight="1" thickBot="1" x14ac:dyDescent="0.3">
      <c r="A80" s="65" t="str">
        <f>Planilha!A80</f>
        <v>Setop</v>
      </c>
      <c r="B80" s="66" t="str">
        <f>Planilha!B80</f>
        <v>ED-50266</v>
      </c>
      <c r="C80" s="67" t="str">
        <f>Planilha!C80</f>
        <v>7.1</v>
      </c>
      <c r="D80" s="68" t="str">
        <f>Planilha!D80</f>
        <v>LIMPEZA FINAL PARA ENTREGA DA OBRA</v>
      </c>
      <c r="E80" s="66" t="str">
        <f>Planilha!E80</f>
        <v>m²</v>
      </c>
      <c r="F80" s="223" t="s">
        <v>171</v>
      </c>
      <c r="G80" s="223"/>
      <c r="H80" s="223" t="s">
        <v>172</v>
      </c>
      <c r="I80" s="223"/>
      <c r="J80" s="69">
        <f>16.25*14.7</f>
        <v>238.875</v>
      </c>
    </row>
    <row r="81" spans="1:10" ht="15.75" x14ac:dyDescent="0.25">
      <c r="A81" s="171" t="s">
        <v>22</v>
      </c>
      <c r="B81" s="172"/>
      <c r="C81" s="172"/>
      <c r="D81" s="175"/>
      <c r="E81" s="159" t="str">
        <f>Planilha!E82</f>
        <v>OBS: 1) Todos os itens deverão estar completamente concluídos e dentro das especificações de projetos para medição da etapa. Os materiais empregados, deverão rigorosamente seguir as especificações de qualidade destacadas na presente planilha.</v>
      </c>
      <c r="F81" s="160"/>
      <c r="G81" s="160"/>
      <c r="H81" s="160"/>
      <c r="I81" s="160"/>
      <c r="J81" s="161"/>
    </row>
    <row r="82" spans="1:10" ht="15.75" x14ac:dyDescent="0.25">
      <c r="A82" s="173"/>
      <c r="B82" s="174"/>
      <c r="C82" s="174"/>
      <c r="D82" s="176"/>
      <c r="E82" s="162"/>
      <c r="F82" s="163"/>
      <c r="G82" s="163"/>
      <c r="H82" s="163"/>
      <c r="I82" s="163"/>
      <c r="J82" s="164"/>
    </row>
    <row r="83" spans="1:10" ht="15.75" x14ac:dyDescent="0.25">
      <c r="A83" s="173"/>
      <c r="B83" s="174"/>
      <c r="C83" s="174"/>
      <c r="D83" s="176"/>
      <c r="E83" s="162"/>
      <c r="F83" s="163"/>
      <c r="G83" s="163"/>
      <c r="H83" s="163"/>
      <c r="I83" s="163"/>
      <c r="J83" s="164"/>
    </row>
    <row r="84" spans="1:10" ht="45" customHeight="1" thickBot="1" x14ac:dyDescent="0.3">
      <c r="A84" s="240" t="str">
        <f>Planilha!A85</f>
        <v>JOÃO RAFAEL BUENO DE MORAIS LOPES
CREA-MG:235527/D</v>
      </c>
      <c r="B84" s="241"/>
      <c r="C84" s="241"/>
      <c r="D84" s="177"/>
      <c r="E84" s="165"/>
      <c r="F84" s="166"/>
      <c r="G84" s="166"/>
      <c r="H84" s="166"/>
      <c r="I84" s="166"/>
      <c r="J84" s="167"/>
    </row>
  </sheetData>
  <mergeCells count="154">
    <mergeCell ref="F73:G73"/>
    <mergeCell ref="H73:I73"/>
    <mergeCell ref="F74:G74"/>
    <mergeCell ref="H74:I74"/>
    <mergeCell ref="F77:G77"/>
    <mergeCell ref="H77:I77"/>
    <mergeCell ref="F57:G57"/>
    <mergeCell ref="F58:G58"/>
    <mergeCell ref="H58:I58"/>
    <mergeCell ref="H57:I57"/>
    <mergeCell ref="B70:J70"/>
    <mergeCell ref="F71:G71"/>
    <mergeCell ref="H71:I71"/>
    <mergeCell ref="F72:G72"/>
    <mergeCell ref="H72:I72"/>
    <mergeCell ref="B66:J66"/>
    <mergeCell ref="F67:G67"/>
    <mergeCell ref="H67:I67"/>
    <mergeCell ref="F69:G69"/>
    <mergeCell ref="H69:I69"/>
    <mergeCell ref="H62:I62"/>
    <mergeCell ref="F60:G60"/>
    <mergeCell ref="H60:I60"/>
    <mergeCell ref="F61:G61"/>
    <mergeCell ref="H61:I61"/>
    <mergeCell ref="H49:I49"/>
    <mergeCell ref="F49:G49"/>
    <mergeCell ref="H46:I46"/>
    <mergeCell ref="H51:I51"/>
    <mergeCell ref="F30:G30"/>
    <mergeCell ref="H30:I30"/>
    <mergeCell ref="F31:G31"/>
    <mergeCell ref="H31:I31"/>
    <mergeCell ref="F32:G32"/>
    <mergeCell ref="H32:I32"/>
    <mergeCell ref="F34:G34"/>
    <mergeCell ref="H34:I34"/>
    <mergeCell ref="F46:G46"/>
    <mergeCell ref="F36:G36"/>
    <mergeCell ref="F38:G38"/>
    <mergeCell ref="H36:I36"/>
    <mergeCell ref="H38:I38"/>
    <mergeCell ref="F40:G40"/>
    <mergeCell ref="H40:I40"/>
    <mergeCell ref="B43:J43"/>
    <mergeCell ref="F44:G44"/>
    <mergeCell ref="H44:I44"/>
    <mergeCell ref="F45:G45"/>
    <mergeCell ref="H45:I45"/>
    <mergeCell ref="F28:G28"/>
    <mergeCell ref="H28:I28"/>
    <mergeCell ref="F17:G17"/>
    <mergeCell ref="H18:I18"/>
    <mergeCell ref="B75:J75"/>
    <mergeCell ref="F76:G76"/>
    <mergeCell ref="H76:I76"/>
    <mergeCell ref="F78:G78"/>
    <mergeCell ref="H78:I78"/>
    <mergeCell ref="F35:G35"/>
    <mergeCell ref="H35:I35"/>
    <mergeCell ref="F37:G37"/>
    <mergeCell ref="B33:J33"/>
    <mergeCell ref="B42:J42"/>
    <mergeCell ref="B47:J47"/>
    <mergeCell ref="B52:J52"/>
    <mergeCell ref="H37:I37"/>
    <mergeCell ref="F39:G39"/>
    <mergeCell ref="H39:I39"/>
    <mergeCell ref="F41:G41"/>
    <mergeCell ref="H41:I41"/>
    <mergeCell ref="F48:G48"/>
    <mergeCell ref="H48:I48"/>
    <mergeCell ref="F50:G50"/>
    <mergeCell ref="F21:G21"/>
    <mergeCell ref="H21:I21"/>
    <mergeCell ref="H24:I24"/>
    <mergeCell ref="F19:G19"/>
    <mergeCell ref="H50:I50"/>
    <mergeCell ref="F23:G23"/>
    <mergeCell ref="B22:J22"/>
    <mergeCell ref="F12:G12"/>
    <mergeCell ref="H12:I12"/>
    <mergeCell ref="F15:G15"/>
    <mergeCell ref="H15:I15"/>
    <mergeCell ref="F13:G13"/>
    <mergeCell ref="H13:I13"/>
    <mergeCell ref="B14:J14"/>
    <mergeCell ref="H16:I16"/>
    <mergeCell ref="F29:G29"/>
    <mergeCell ref="H29:I29"/>
    <mergeCell ref="F25:G25"/>
    <mergeCell ref="H25:I25"/>
    <mergeCell ref="F16:G16"/>
    <mergeCell ref="F26:G26"/>
    <mergeCell ref="H26:I26"/>
    <mergeCell ref="F27:G27"/>
    <mergeCell ref="H27:I27"/>
    <mergeCell ref="A81:C83"/>
    <mergeCell ref="A84:C84"/>
    <mergeCell ref="D81:D84"/>
    <mergeCell ref="F80:G80"/>
    <mergeCell ref="H80:I80"/>
    <mergeCell ref="E81:J84"/>
    <mergeCell ref="B79:J79"/>
    <mergeCell ref="H5:J5"/>
    <mergeCell ref="A1:A5"/>
    <mergeCell ref="B1:G2"/>
    <mergeCell ref="H1:J1"/>
    <mergeCell ref="H2:J2"/>
    <mergeCell ref="B3:D3"/>
    <mergeCell ref="E3:G5"/>
    <mergeCell ref="H3:I3"/>
    <mergeCell ref="B4:D4"/>
    <mergeCell ref="H4:J4"/>
    <mergeCell ref="B5:D5"/>
    <mergeCell ref="A6:A7"/>
    <mergeCell ref="B6:B7"/>
    <mergeCell ref="C6:C7"/>
    <mergeCell ref="D6:D7"/>
    <mergeCell ref="F11:G11"/>
    <mergeCell ref="H11:I11"/>
    <mergeCell ref="E6:E7"/>
    <mergeCell ref="F6:G7"/>
    <mergeCell ref="B8:J8"/>
    <mergeCell ref="H6:I7"/>
    <mergeCell ref="J6:J7"/>
    <mergeCell ref="F9:G9"/>
    <mergeCell ref="H9:I9"/>
    <mergeCell ref="F10:G10"/>
    <mergeCell ref="H10:I10"/>
    <mergeCell ref="F18:G18"/>
    <mergeCell ref="F24:G24"/>
    <mergeCell ref="H17:I17"/>
    <mergeCell ref="H19:I19"/>
    <mergeCell ref="H23:I23"/>
    <mergeCell ref="F20:G20"/>
    <mergeCell ref="H20:I20"/>
    <mergeCell ref="F68:G68"/>
    <mergeCell ref="H68:I68"/>
    <mergeCell ref="F64:G64"/>
    <mergeCell ref="H64:I64"/>
    <mergeCell ref="F65:G65"/>
    <mergeCell ref="H65:I65"/>
    <mergeCell ref="F51:G51"/>
    <mergeCell ref="F53:G53"/>
    <mergeCell ref="H53:I53"/>
    <mergeCell ref="F55:G55"/>
    <mergeCell ref="H55:I55"/>
    <mergeCell ref="B54:J54"/>
    <mergeCell ref="B56:J56"/>
    <mergeCell ref="B63:J63"/>
    <mergeCell ref="H59:I59"/>
    <mergeCell ref="F59:G59"/>
    <mergeCell ref="F62:G62"/>
  </mergeCells>
  <phoneticPr fontId="11" type="noConversion"/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36" fitToHeight="0" orientation="landscape" r:id="rId1"/>
  <headerFooter>
    <oddHeader>&amp;L&amp;G</oddHeader>
    <oddFooter>&amp;C&amp;"Times New Roman,Normal"&amp;12RJ Morais Engenharia e Arquitetura Ltda / CNPJ: 42.441.571/0001-01
www.rjmorais.com.br / rjmorais@rjmorais.com.br / Fone: (37) 99182-8911
Rua Jarbas Ferreira Pires, 440, sala 102, Centro, Arcos/MG, cep 35.588-000</oddFooter>
  </headerFooter>
  <rowBreaks count="3" manualBreakCount="3">
    <brk id="16" max="9" man="1"/>
    <brk id="21" max="9" man="1"/>
    <brk id="27" max="16383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J27"/>
  <sheetViews>
    <sheetView showGridLines="0" view="pageBreakPreview" topLeftCell="A6" zoomScaleNormal="100" zoomScaleSheetLayoutView="100" workbookViewId="0">
      <selection activeCell="I13" sqref="I13:J13"/>
    </sheetView>
  </sheetViews>
  <sheetFormatPr defaultColWidth="9.140625" defaultRowHeight="15" x14ac:dyDescent="0.25"/>
  <cols>
    <col min="1" max="1" width="5.42578125" style="7" bestFit="1" customWidth="1"/>
    <col min="2" max="2" width="9.140625" style="7"/>
    <col min="3" max="3" width="21.28515625" style="7" customWidth="1"/>
    <col min="4" max="4" width="12.28515625" style="7" bestFit="1" customWidth="1"/>
    <col min="5" max="6" width="12.5703125" style="7" bestFit="1" customWidth="1"/>
    <col min="7" max="7" width="12.42578125" style="7" customWidth="1"/>
    <col min="8" max="8" width="13.7109375" style="7" customWidth="1"/>
    <col min="9" max="9" width="9.140625" style="7"/>
    <col min="10" max="10" width="14.42578125" style="7" bestFit="1" customWidth="1"/>
    <col min="11" max="16384" width="9.140625" style="7"/>
  </cols>
  <sheetData>
    <row r="1" spans="1:10" ht="16.5" thickBot="1" x14ac:dyDescent="0.3">
      <c r="A1" s="261" t="s">
        <v>11</v>
      </c>
      <c r="B1" s="262"/>
      <c r="C1" s="262"/>
      <c r="D1" s="262"/>
      <c r="E1" s="262"/>
      <c r="F1" s="262"/>
      <c r="G1" s="262"/>
      <c r="H1" s="262"/>
      <c r="I1" s="262"/>
      <c r="J1" s="263"/>
    </row>
    <row r="2" spans="1:10" ht="15.75" thickBot="1" x14ac:dyDescent="0.3">
      <c r="A2" s="264" t="str">
        <f>Planilha!B5</f>
        <v>PREFEITURA MUNICIPAL DE CEDRO DO ABAETÉ - MG</v>
      </c>
      <c r="B2" s="265"/>
      <c r="C2" s="265"/>
      <c r="D2" s="265"/>
      <c r="E2" s="265"/>
      <c r="F2" s="265"/>
      <c r="G2" s="265"/>
      <c r="H2" s="265"/>
      <c r="I2" s="265"/>
      <c r="J2" s="266"/>
    </row>
    <row r="3" spans="1:10" ht="15.75" thickBot="1" x14ac:dyDescent="0.3">
      <c r="A3" s="267" t="str">
        <f>Planilha!B3</f>
        <v>CAPELA VELÓRIO DO CEMITÉRIO MUNICIPAL</v>
      </c>
      <c r="B3" s="268"/>
      <c r="C3" s="268"/>
      <c r="D3" s="268"/>
      <c r="E3" s="268"/>
      <c r="F3" s="268"/>
      <c r="G3" s="268"/>
      <c r="H3" s="268"/>
      <c r="I3" s="269"/>
      <c r="J3" s="270"/>
    </row>
    <row r="4" spans="1:10" ht="15.75" thickBot="1" x14ac:dyDescent="0.3">
      <c r="A4" s="267" t="str">
        <f>Planilha!B4</f>
        <v>LOCAL:  RUA RIO INDAIÁ, CEDRO DO ABAETÉ - MG</v>
      </c>
      <c r="B4" s="268"/>
      <c r="C4" s="268"/>
      <c r="D4" s="268"/>
      <c r="E4" s="268"/>
      <c r="F4" s="268"/>
      <c r="G4" s="268"/>
      <c r="H4" s="268"/>
      <c r="I4" s="5" t="s">
        <v>32</v>
      </c>
      <c r="J4" s="147" t="s">
        <v>317</v>
      </c>
    </row>
    <row r="5" spans="1:10" ht="26.25" thickBot="1" x14ac:dyDescent="0.3">
      <c r="A5" s="58" t="s">
        <v>2</v>
      </c>
      <c r="B5" s="264" t="s">
        <v>12</v>
      </c>
      <c r="C5" s="266"/>
      <c r="D5" s="4" t="s">
        <v>13</v>
      </c>
      <c r="E5" s="2" t="s">
        <v>14</v>
      </c>
      <c r="F5" s="3" t="s">
        <v>15</v>
      </c>
      <c r="G5" s="3" t="s">
        <v>315</v>
      </c>
      <c r="H5" s="3" t="s">
        <v>316</v>
      </c>
      <c r="I5" s="264" t="s">
        <v>16</v>
      </c>
      <c r="J5" s="266"/>
    </row>
    <row r="6" spans="1:10" ht="15" customHeight="1" x14ac:dyDescent="0.2">
      <c r="A6" s="275">
        <v>1</v>
      </c>
      <c r="B6" s="277" t="str">
        <f>Planilha!B8</f>
        <v xml:space="preserve">SERVIÇOS PRELIMINARES </v>
      </c>
      <c r="C6" s="278"/>
      <c r="D6" s="8" t="s">
        <v>17</v>
      </c>
      <c r="E6" s="1">
        <f>E7/$E$20</f>
        <v>2.9745328061204463E-2</v>
      </c>
      <c r="F6" s="148">
        <v>1</v>
      </c>
      <c r="G6" s="148"/>
      <c r="H6" s="148"/>
      <c r="I6" s="273">
        <f t="shared" ref="I6:I7" si="0">SUM(F6:H6)</f>
        <v>1</v>
      </c>
      <c r="J6" s="274"/>
    </row>
    <row r="7" spans="1:10" ht="15.75" thickBot="1" x14ac:dyDescent="0.25">
      <c r="A7" s="276"/>
      <c r="B7" s="279"/>
      <c r="C7" s="280"/>
      <c r="D7" s="9" t="s">
        <v>18</v>
      </c>
      <c r="E7" s="10">
        <f>Planilha!J8</f>
        <v>4573.6336111467717</v>
      </c>
      <c r="F7" s="149">
        <f>F6*$E$7</f>
        <v>4573.6336111467717</v>
      </c>
      <c r="G7" s="149"/>
      <c r="H7" s="149"/>
      <c r="I7" s="271">
        <f t="shared" si="0"/>
        <v>4573.6336111467717</v>
      </c>
      <c r="J7" s="272"/>
    </row>
    <row r="8" spans="1:10" ht="17.25" customHeight="1" x14ac:dyDescent="0.2">
      <c r="A8" s="275">
        <v>2</v>
      </c>
      <c r="B8" s="277" t="str">
        <f>Planilha!B14</f>
        <v>DEMOLIÇÃO</v>
      </c>
      <c r="C8" s="278"/>
      <c r="D8" s="8" t="s">
        <v>17</v>
      </c>
      <c r="E8" s="1">
        <f>E9/$E$20</f>
        <v>7.5645243160754397E-2</v>
      </c>
      <c r="F8" s="148">
        <v>1</v>
      </c>
      <c r="G8" s="148"/>
      <c r="H8" s="148"/>
      <c r="I8" s="273">
        <f t="shared" ref="I8:I19" si="1">SUM(F8:H8)</f>
        <v>1</v>
      </c>
      <c r="J8" s="274"/>
    </row>
    <row r="9" spans="1:10" ht="17.25" customHeight="1" thickBot="1" x14ac:dyDescent="0.25">
      <c r="A9" s="276"/>
      <c r="B9" s="279"/>
      <c r="C9" s="280"/>
      <c r="D9" s="9" t="s">
        <v>18</v>
      </c>
      <c r="E9" s="10">
        <f>Planilha!J14</f>
        <v>11631.192163405154</v>
      </c>
      <c r="F9" s="149">
        <f>F8*$E$9</f>
        <v>11631.192163405154</v>
      </c>
      <c r="G9" s="149"/>
      <c r="H9" s="149"/>
      <c r="I9" s="271">
        <f t="shared" si="1"/>
        <v>11631.192163405154</v>
      </c>
      <c r="J9" s="272"/>
    </row>
    <row r="10" spans="1:10" ht="15" customHeight="1" x14ac:dyDescent="0.2">
      <c r="A10" s="275">
        <v>3</v>
      </c>
      <c r="B10" s="277" t="str">
        <f>Planilha!B22</f>
        <v>INFRAESTRUTURA</v>
      </c>
      <c r="C10" s="278"/>
      <c r="D10" s="11" t="s">
        <v>17</v>
      </c>
      <c r="E10" s="1">
        <f>E11/$E$20</f>
        <v>8.8590645440179028E-2</v>
      </c>
      <c r="F10" s="148">
        <v>1</v>
      </c>
      <c r="G10" s="148"/>
      <c r="H10" s="148"/>
      <c r="I10" s="273">
        <f t="shared" si="1"/>
        <v>1</v>
      </c>
      <c r="J10" s="274"/>
    </row>
    <row r="11" spans="1:10" ht="17.25" customHeight="1" thickBot="1" x14ac:dyDescent="0.25">
      <c r="A11" s="276"/>
      <c r="B11" s="279"/>
      <c r="C11" s="280"/>
      <c r="D11" s="12" t="s">
        <v>18</v>
      </c>
      <c r="E11" s="13">
        <f>Planilha!J22</f>
        <v>13621.673722497935</v>
      </c>
      <c r="F11" s="149">
        <f>F10*$E$11</f>
        <v>13621.673722497935</v>
      </c>
      <c r="G11" s="149"/>
      <c r="H11" s="149"/>
      <c r="I11" s="271">
        <f t="shared" si="1"/>
        <v>13621.673722497935</v>
      </c>
      <c r="J11" s="272"/>
    </row>
    <row r="12" spans="1:10" ht="15" customHeight="1" x14ac:dyDescent="0.2">
      <c r="A12" s="275">
        <v>4</v>
      </c>
      <c r="B12" s="277" t="str">
        <f>Planilha!B33</f>
        <v>REFORÇO METÁLICO</v>
      </c>
      <c r="C12" s="278"/>
      <c r="D12" s="8" t="s">
        <v>17</v>
      </c>
      <c r="E12" s="1">
        <f>E13/$E$20</f>
        <v>0.43712561982039239</v>
      </c>
      <c r="F12" s="148">
        <v>0.2</v>
      </c>
      <c r="G12" s="148">
        <v>0.5</v>
      </c>
      <c r="H12" s="148">
        <v>0.3</v>
      </c>
      <c r="I12" s="273">
        <f t="shared" si="1"/>
        <v>1</v>
      </c>
      <c r="J12" s="274"/>
    </row>
    <row r="13" spans="1:10" ht="15.75" thickBot="1" x14ac:dyDescent="0.25">
      <c r="A13" s="276"/>
      <c r="B13" s="279"/>
      <c r="C13" s="280"/>
      <c r="D13" s="9" t="s">
        <v>18</v>
      </c>
      <c r="E13" s="10">
        <f>Planilha!J33</f>
        <v>67212.317275177411</v>
      </c>
      <c r="F13" s="149">
        <f t="shared" ref="F13:H13" si="2">F12*$E$13</f>
        <v>13442.463455035482</v>
      </c>
      <c r="G13" s="149">
        <f t="shared" si="2"/>
        <v>33606.158637588705</v>
      </c>
      <c r="H13" s="149">
        <f t="shared" si="2"/>
        <v>20163.695182553223</v>
      </c>
      <c r="I13" s="271">
        <f t="shared" si="1"/>
        <v>67212.317275177411</v>
      </c>
      <c r="J13" s="272"/>
    </row>
    <row r="14" spans="1:10" ht="17.25" customHeight="1" x14ac:dyDescent="0.2">
      <c r="A14" s="275">
        <v>5</v>
      </c>
      <c r="B14" s="277" t="str">
        <f>Planilha!B42</f>
        <v>ACABAMENTO</v>
      </c>
      <c r="C14" s="278"/>
      <c r="D14" s="8" t="s">
        <v>17</v>
      </c>
      <c r="E14" s="1">
        <f>E15/$E$20</f>
        <v>0.24087178178114482</v>
      </c>
      <c r="F14" s="148"/>
      <c r="G14" s="148">
        <v>0.3</v>
      </c>
      <c r="H14" s="148">
        <v>0.7</v>
      </c>
      <c r="I14" s="273">
        <f t="shared" si="1"/>
        <v>1</v>
      </c>
      <c r="J14" s="274"/>
    </row>
    <row r="15" spans="1:10" ht="17.25" customHeight="1" thickBot="1" x14ac:dyDescent="0.25">
      <c r="A15" s="276"/>
      <c r="B15" s="279"/>
      <c r="C15" s="280"/>
      <c r="D15" s="9" t="s">
        <v>18</v>
      </c>
      <c r="E15" s="10">
        <f>Planilha!J42</f>
        <v>37036.380128814271</v>
      </c>
      <c r="F15" s="149"/>
      <c r="G15" s="149">
        <f t="shared" ref="G15:H15" si="3">G14*$E$15</f>
        <v>11110.914038644281</v>
      </c>
      <c r="H15" s="149">
        <f t="shared" si="3"/>
        <v>25925.46609016999</v>
      </c>
      <c r="I15" s="271">
        <f t="shared" si="1"/>
        <v>37036.380128814271</v>
      </c>
      <c r="J15" s="272"/>
    </row>
    <row r="16" spans="1:10" ht="15" customHeight="1" x14ac:dyDescent="0.2">
      <c r="A16" s="275">
        <v>6</v>
      </c>
      <c r="B16" s="277" t="str">
        <f>Planilha!B75</f>
        <v>PERGOLADO E BANCOS</v>
      </c>
      <c r="C16" s="278"/>
      <c r="D16" s="150" t="s">
        <v>17</v>
      </c>
      <c r="E16" s="1">
        <f>E17/$E$20</f>
        <v>0.1153176132533771</v>
      </c>
      <c r="F16" s="148"/>
      <c r="G16" s="148">
        <v>0.4</v>
      </c>
      <c r="H16" s="148">
        <v>0.6</v>
      </c>
      <c r="I16" s="273">
        <f t="shared" si="1"/>
        <v>1</v>
      </c>
      <c r="J16" s="274"/>
    </row>
    <row r="17" spans="1:10" ht="17.25" customHeight="1" thickBot="1" x14ac:dyDescent="0.25">
      <c r="A17" s="276"/>
      <c r="B17" s="279"/>
      <c r="C17" s="280"/>
      <c r="D17" s="151" t="s">
        <v>18</v>
      </c>
      <c r="E17" s="13">
        <f>Planilha!J75</f>
        <v>17731.205076899507</v>
      </c>
      <c r="F17" s="149"/>
      <c r="G17" s="149">
        <f t="shared" ref="G17:H17" si="4">G16*$E$17</f>
        <v>7092.4820307598029</v>
      </c>
      <c r="H17" s="149">
        <f t="shared" si="4"/>
        <v>10638.723046139703</v>
      </c>
      <c r="I17" s="271">
        <f t="shared" si="1"/>
        <v>17731.205076899507</v>
      </c>
      <c r="J17" s="272"/>
    </row>
    <row r="18" spans="1:10" ht="15" customHeight="1" x14ac:dyDescent="0.2">
      <c r="A18" s="275">
        <v>7</v>
      </c>
      <c r="B18" s="277" t="str">
        <f>Planilha!B79</f>
        <v>LIMPEZA FINAL PARA ENTREGA DA OBRA</v>
      </c>
      <c r="C18" s="278"/>
      <c r="D18" s="11" t="s">
        <v>17</v>
      </c>
      <c r="E18" s="1">
        <f>E19/$E$20</f>
        <v>1.2703768482947802E-2</v>
      </c>
      <c r="F18" s="148"/>
      <c r="G18" s="148"/>
      <c r="H18" s="148">
        <v>1</v>
      </c>
      <c r="I18" s="273">
        <f t="shared" si="1"/>
        <v>1</v>
      </c>
      <c r="J18" s="274"/>
    </row>
    <row r="19" spans="1:10" ht="17.25" customHeight="1" thickBot="1" x14ac:dyDescent="0.25">
      <c r="A19" s="276"/>
      <c r="B19" s="279"/>
      <c r="C19" s="280"/>
      <c r="D19" s="12" t="s">
        <v>18</v>
      </c>
      <c r="E19" s="13">
        <f>Planilha!J79</f>
        <v>1953.3280117901108</v>
      </c>
      <c r="F19" s="149"/>
      <c r="G19" s="149"/>
      <c r="H19" s="149">
        <f t="shared" ref="H19" si="5">H18*$E$19</f>
        <v>1953.3280117901108</v>
      </c>
      <c r="I19" s="271">
        <f t="shared" si="1"/>
        <v>1953.3280117901108</v>
      </c>
      <c r="J19" s="272"/>
    </row>
    <row r="20" spans="1:10" s="6" customFormat="1" ht="15.75" customHeight="1" thickBot="1" x14ac:dyDescent="0.3">
      <c r="A20" s="264" t="s">
        <v>45</v>
      </c>
      <c r="B20" s="265"/>
      <c r="C20" s="265"/>
      <c r="D20" s="266"/>
      <c r="E20" s="54">
        <f>E7+E9+E11+E13+E15+E17+E19</f>
        <v>153759.72998973116</v>
      </c>
      <c r="F20" s="152">
        <f>F13+F15+F17+F19+F11+F9+F7</f>
        <v>43268.962952085349</v>
      </c>
      <c r="G20" s="152">
        <f t="shared" ref="G20:H20" si="6">G13+G15+G17+G19+G11+G9+G7</f>
        <v>51809.554706992792</v>
      </c>
      <c r="H20" s="152">
        <f t="shared" si="6"/>
        <v>58681.212330653027</v>
      </c>
      <c r="I20" s="250">
        <f>I9+I11+I13+I15+I17+I19+I7</f>
        <v>153759.72998973116</v>
      </c>
      <c r="J20" s="251"/>
    </row>
    <row r="21" spans="1:10" ht="14.45" customHeight="1" x14ac:dyDescent="0.25">
      <c r="A21" s="282" t="s">
        <v>22</v>
      </c>
      <c r="B21" s="283"/>
      <c r="C21" s="283"/>
      <c r="D21" s="284"/>
      <c r="E21" s="252" t="s">
        <v>46</v>
      </c>
      <c r="F21" s="253"/>
      <c r="G21" s="253"/>
      <c r="H21" s="253"/>
      <c r="I21" s="253"/>
      <c r="J21" s="254"/>
    </row>
    <row r="22" spans="1:10" ht="15" customHeight="1" x14ac:dyDescent="0.25">
      <c r="A22" s="285"/>
      <c r="B22" s="286"/>
      <c r="C22" s="286"/>
      <c r="D22" s="287"/>
      <c r="E22" s="255"/>
      <c r="F22" s="256"/>
      <c r="G22" s="256"/>
      <c r="H22" s="256"/>
      <c r="I22" s="256"/>
      <c r="J22" s="257"/>
    </row>
    <row r="23" spans="1:10" ht="15" customHeight="1" x14ac:dyDescent="0.25">
      <c r="A23" s="288" t="s">
        <v>30</v>
      </c>
      <c r="B23" s="289"/>
      <c r="C23" s="289"/>
      <c r="D23" s="290"/>
      <c r="E23" s="258"/>
      <c r="F23" s="259"/>
      <c r="G23" s="259"/>
      <c r="H23" s="259"/>
      <c r="I23" s="259"/>
      <c r="J23" s="260"/>
    </row>
    <row r="24" spans="1:10" ht="15" customHeight="1" thickBot="1" x14ac:dyDescent="0.3">
      <c r="A24" s="291" t="s">
        <v>31</v>
      </c>
      <c r="B24" s="292"/>
      <c r="C24" s="292"/>
      <c r="D24" s="293"/>
      <c r="E24" s="52"/>
      <c r="F24" s="52"/>
      <c r="G24" s="52"/>
      <c r="H24" s="52"/>
      <c r="I24" s="52"/>
      <c r="J24" s="53"/>
    </row>
    <row r="27" spans="1:10" ht="18" x14ac:dyDescent="0.25">
      <c r="C27" s="14"/>
      <c r="D27" s="281"/>
      <c r="E27" s="281"/>
      <c r="F27" s="281"/>
    </row>
  </sheetData>
  <mergeCells count="43">
    <mergeCell ref="B5:C5"/>
    <mergeCell ref="B8:C9"/>
    <mergeCell ref="B10:C11"/>
    <mergeCell ref="A6:A7"/>
    <mergeCell ref="B6:C7"/>
    <mergeCell ref="D27:F27"/>
    <mergeCell ref="A20:D20"/>
    <mergeCell ref="A21:D22"/>
    <mergeCell ref="A23:D23"/>
    <mergeCell ref="A24:D24"/>
    <mergeCell ref="A10:A11"/>
    <mergeCell ref="A8:A9"/>
    <mergeCell ref="A12:A13"/>
    <mergeCell ref="B12:C13"/>
    <mergeCell ref="A18:A19"/>
    <mergeCell ref="B18:C19"/>
    <mergeCell ref="A14:A15"/>
    <mergeCell ref="B14:C15"/>
    <mergeCell ref="A16:A17"/>
    <mergeCell ref="B16:C17"/>
    <mergeCell ref="I13:J13"/>
    <mergeCell ref="I14:J14"/>
    <mergeCell ref="I5:J5"/>
    <mergeCell ref="I6:J6"/>
    <mergeCell ref="I7:J7"/>
    <mergeCell ref="I8:J8"/>
    <mergeCell ref="I9:J9"/>
    <mergeCell ref="I20:J20"/>
    <mergeCell ref="E21:J22"/>
    <mergeCell ref="E23:J23"/>
    <mergeCell ref="A1:J1"/>
    <mergeCell ref="A2:J2"/>
    <mergeCell ref="A3:H3"/>
    <mergeCell ref="I3:J3"/>
    <mergeCell ref="A4:H4"/>
    <mergeCell ref="I15:J15"/>
    <mergeCell ref="I16:J16"/>
    <mergeCell ref="I17:J17"/>
    <mergeCell ref="I18:J18"/>
    <mergeCell ref="I19:J19"/>
    <mergeCell ref="I10:J10"/>
    <mergeCell ref="I11:J11"/>
    <mergeCell ref="I12:J12"/>
  </mergeCells>
  <phoneticPr fontId="11" type="noConversion"/>
  <conditionalFormatting sqref="F6:H6">
    <cfRule type="cellIs" dxfId="11" priority="7" operator="greaterThan">
      <formula>0</formula>
    </cfRule>
  </conditionalFormatting>
  <conditionalFormatting sqref="F8:H8">
    <cfRule type="cellIs" dxfId="10" priority="6" operator="greaterThan">
      <formula>0</formula>
    </cfRule>
  </conditionalFormatting>
  <conditionalFormatting sqref="F10:H10">
    <cfRule type="cellIs" dxfId="9" priority="5" operator="greaterThan">
      <formula>0</formula>
    </cfRule>
  </conditionalFormatting>
  <conditionalFormatting sqref="F12:H12">
    <cfRule type="cellIs" dxfId="8" priority="4" operator="greaterThan">
      <formula>0</formula>
    </cfRule>
  </conditionalFormatting>
  <conditionalFormatting sqref="F14:H14">
    <cfRule type="cellIs" dxfId="7" priority="3" operator="greaterThan">
      <formula>0</formula>
    </cfRule>
  </conditionalFormatting>
  <conditionalFormatting sqref="F16:H16">
    <cfRule type="cellIs" dxfId="6" priority="2" operator="greaterThan">
      <formula>0</formula>
    </cfRule>
  </conditionalFormatting>
  <conditionalFormatting sqref="F18:H18">
    <cfRule type="cellIs" dxfId="5" priority="1" operator="greaterThan">
      <formula>0</formula>
    </cfRule>
  </conditionalFormatting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&amp;L&amp;G</oddHeader>
    <oddFooter>&amp;C&amp;"Times New Roman,Normal"&amp;12RJ Morais Engenharia e Arquitetura Ltda / CNPJ: 42.441.571/0001-01
www.rjmorais.com.br / rjmorais@rjmorais.com.br / Fone: (37) 99182-8911
Rua Jarbas Ferreira Pires, 440, sala 102, Centro, Arcos/MG, cep 35.588-000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C44D1-2C83-45DF-9811-0F625D6D4A2D}">
  <sheetPr>
    <pageSetUpPr fitToPage="1"/>
  </sheetPr>
  <dimension ref="A1:K27"/>
  <sheetViews>
    <sheetView view="pageBreakPreview" topLeftCell="A4" zoomScale="85" zoomScaleNormal="100" zoomScaleSheetLayoutView="85" workbookViewId="0">
      <selection activeCell="E21" sqref="E21"/>
    </sheetView>
  </sheetViews>
  <sheetFormatPr defaultRowHeight="15" x14ac:dyDescent="0.25"/>
  <cols>
    <col min="1" max="1" width="6.28515625" customWidth="1"/>
    <col min="2" max="2" width="13.28515625" customWidth="1"/>
    <col min="3" max="3" width="33.85546875" customWidth="1"/>
    <col min="4" max="4" width="11.140625" customWidth="1"/>
    <col min="5" max="5" width="7.140625" customWidth="1"/>
    <col min="6" max="6" width="17.140625" customWidth="1"/>
    <col min="7" max="7" width="14.28515625" bestFit="1" customWidth="1"/>
    <col min="8" max="8" width="15.85546875" bestFit="1" customWidth="1"/>
    <col min="9" max="9" width="15.28515625" customWidth="1"/>
    <col min="11" max="11" width="14.5703125" bestFit="1" customWidth="1"/>
  </cols>
  <sheetData>
    <row r="1" spans="1:11" s="19" customFormat="1" ht="15" customHeight="1" x14ac:dyDescent="0.25">
      <c r="A1" s="330" t="s">
        <v>49</v>
      </c>
      <c r="B1" s="331"/>
      <c r="C1" s="331"/>
      <c r="D1" s="331"/>
      <c r="E1" s="331"/>
      <c r="F1" s="331"/>
      <c r="G1" s="331"/>
      <c r="H1" s="331"/>
      <c r="I1" s="332"/>
      <c r="J1" s="18"/>
      <c r="K1" s="18"/>
    </row>
    <row r="2" spans="1:11" s="19" customFormat="1" ht="21.6" hidden="1" customHeight="1" x14ac:dyDescent="0.25">
      <c r="A2" s="333" t="s">
        <v>50</v>
      </c>
      <c r="B2" s="334"/>
      <c r="C2" s="334"/>
      <c r="D2" s="335" t="s">
        <v>51</v>
      </c>
      <c r="E2" s="336"/>
      <c r="F2" s="337" t="s">
        <v>52</v>
      </c>
      <c r="G2" s="316"/>
      <c r="H2" s="316"/>
      <c r="I2" s="317"/>
      <c r="J2" s="20"/>
      <c r="K2" s="20"/>
    </row>
    <row r="3" spans="1:11" s="19" customFormat="1" ht="35.450000000000003" hidden="1" customHeight="1" x14ac:dyDescent="0.25">
      <c r="A3" s="338" t="str">
        <f>'[1]PLANILHA GERAL'!A3:D3</f>
        <v xml:space="preserve">OBJETO: Contratação eventual e futura de empresa especializada para prestação de serviços de elaboração de Projetos Complementares, Planilhas Orçamentárias e Memoriais Descritivos, atendendo às necessidades da Secretaria de Obras deste Município. </v>
      </c>
      <c r="B3" s="339"/>
      <c r="C3" s="339"/>
      <c r="D3" s="339"/>
      <c r="E3" s="339"/>
      <c r="F3" s="339"/>
      <c r="G3" s="339"/>
      <c r="H3" s="339"/>
      <c r="I3" s="340"/>
      <c r="J3" s="21"/>
      <c r="K3" s="21"/>
    </row>
    <row r="4" spans="1:11" s="19" customFormat="1" ht="18" customHeight="1" x14ac:dyDescent="0.25">
      <c r="A4" s="325" t="s">
        <v>76</v>
      </c>
      <c r="B4" s="326"/>
      <c r="C4" s="327"/>
      <c r="D4" s="315" t="str">
        <f>Planilha!B3</f>
        <v>CAPELA VELÓRIO DO CEMITÉRIO MUNICIPAL</v>
      </c>
      <c r="E4" s="316"/>
      <c r="F4" s="316"/>
      <c r="G4" s="316"/>
      <c r="H4" s="316"/>
      <c r="I4" s="317"/>
      <c r="J4" s="21"/>
      <c r="K4" s="21"/>
    </row>
    <row r="5" spans="1:11" s="19" customFormat="1" ht="18" x14ac:dyDescent="0.25">
      <c r="A5" s="318" t="s">
        <v>75</v>
      </c>
      <c r="B5" s="319"/>
      <c r="C5" s="320"/>
      <c r="D5" s="302">
        <f>Planilha!J81</f>
        <v>153759.72998973116</v>
      </c>
      <c r="E5" s="303"/>
      <c r="F5" s="22"/>
      <c r="G5" s="23" t="s">
        <v>21</v>
      </c>
      <c r="H5" s="24">
        <f>I7</f>
        <v>0.24652398296774192</v>
      </c>
      <c r="I5" s="25"/>
      <c r="J5" s="26"/>
      <c r="K5" s="27"/>
    </row>
    <row r="6" spans="1:11" ht="20.25" x14ac:dyDescent="0.25">
      <c r="A6" s="321"/>
      <c r="B6" s="322"/>
      <c r="C6" s="322"/>
      <c r="D6" s="322"/>
      <c r="E6" s="322"/>
      <c r="F6" s="322"/>
      <c r="G6" s="322"/>
      <c r="H6" s="322"/>
      <c r="I6" s="323"/>
    </row>
    <row r="7" spans="1:11" ht="15" customHeight="1" x14ac:dyDescent="0.25">
      <c r="A7" s="321" t="s">
        <v>47</v>
      </c>
      <c r="B7" s="322"/>
      <c r="C7" s="322"/>
      <c r="D7" s="324" t="s">
        <v>54</v>
      </c>
      <c r="E7" s="324"/>
      <c r="F7" s="324"/>
      <c r="G7" s="324"/>
      <c r="H7" s="55" t="s">
        <v>57</v>
      </c>
      <c r="I7" s="29">
        <f>IF(H7="S",((1+D12+D9+D10)*(1+D11)*((1+D13)/(1-D15-D14)))-1,0)</f>
        <v>0.24652398296774192</v>
      </c>
    </row>
    <row r="8" spans="1:11" ht="15" customHeight="1" x14ac:dyDescent="0.25">
      <c r="A8" s="321"/>
      <c r="B8" s="322"/>
      <c r="C8" s="322"/>
      <c r="D8" s="324" t="s">
        <v>56</v>
      </c>
      <c r="E8" s="324"/>
      <c r="F8" s="324"/>
      <c r="G8" s="324"/>
      <c r="H8" s="28" t="s">
        <v>55</v>
      </c>
      <c r="I8" s="29"/>
      <c r="K8" t="s">
        <v>53</v>
      </c>
    </row>
    <row r="9" spans="1:11" ht="15" customHeight="1" x14ac:dyDescent="0.25">
      <c r="A9" s="309" t="s">
        <v>58</v>
      </c>
      <c r="B9" s="310"/>
      <c r="C9" s="30" t="s">
        <v>59</v>
      </c>
      <c r="D9" s="307">
        <v>8.9999999999999993E-3</v>
      </c>
      <c r="E9" s="308"/>
      <c r="F9" s="313" t="s">
        <v>60</v>
      </c>
      <c r="G9" s="313"/>
      <c r="H9" s="313"/>
      <c r="I9" s="314"/>
    </row>
    <row r="10" spans="1:11" x14ac:dyDescent="0.25">
      <c r="A10" s="309" t="s">
        <v>61</v>
      </c>
      <c r="B10" s="310"/>
      <c r="C10" s="30" t="s">
        <v>62</v>
      </c>
      <c r="D10" s="307">
        <v>0.01</v>
      </c>
      <c r="E10" s="308"/>
      <c r="F10" s="313"/>
      <c r="G10" s="313"/>
      <c r="H10" s="313"/>
      <c r="I10" s="314"/>
    </row>
    <row r="11" spans="1:11" x14ac:dyDescent="0.25">
      <c r="A11" s="328" t="s">
        <v>63</v>
      </c>
      <c r="B11" s="329"/>
      <c r="C11" s="30" t="s">
        <v>64</v>
      </c>
      <c r="D11" s="307">
        <v>1.3899999999999999E-2</v>
      </c>
      <c r="E11" s="308"/>
      <c r="F11" s="313"/>
      <c r="G11" s="313"/>
      <c r="H11" s="313"/>
      <c r="I11" s="314"/>
    </row>
    <row r="12" spans="1:11" x14ac:dyDescent="0.25">
      <c r="A12" s="309" t="s">
        <v>65</v>
      </c>
      <c r="B12" s="310"/>
      <c r="C12" s="30" t="s">
        <v>66</v>
      </c>
      <c r="D12" s="307">
        <v>4.4999999999999998E-2</v>
      </c>
      <c r="E12" s="308"/>
      <c r="F12" s="313"/>
      <c r="G12" s="313"/>
      <c r="H12" s="313"/>
      <c r="I12" s="314"/>
    </row>
    <row r="13" spans="1:11" x14ac:dyDescent="0.25">
      <c r="A13" s="309" t="s">
        <v>67</v>
      </c>
      <c r="B13" s="310"/>
      <c r="C13" s="30" t="s">
        <v>68</v>
      </c>
      <c r="D13" s="307">
        <v>7.46E-2</v>
      </c>
      <c r="E13" s="308"/>
      <c r="F13" s="313"/>
      <c r="G13" s="313"/>
      <c r="H13" s="313"/>
      <c r="I13" s="314"/>
    </row>
    <row r="14" spans="1:11" x14ac:dyDescent="0.25">
      <c r="A14" s="309" t="s">
        <v>69</v>
      </c>
      <c r="B14" s="310"/>
      <c r="C14" s="30">
        <v>4.4999999999999998E-2</v>
      </c>
      <c r="D14" s="307">
        <v>4.4999999999999998E-2</v>
      </c>
      <c r="E14" s="308"/>
      <c r="F14" s="313"/>
      <c r="G14" s="313"/>
      <c r="H14" s="313"/>
      <c r="I14" s="314"/>
    </row>
    <row r="15" spans="1:11" x14ac:dyDescent="0.25">
      <c r="A15" s="309" t="s">
        <v>70</v>
      </c>
      <c r="B15" s="310"/>
      <c r="C15" s="30">
        <v>2.5000000000000001E-2</v>
      </c>
      <c r="D15" s="307">
        <v>2.5000000000000001E-2</v>
      </c>
      <c r="E15" s="308"/>
      <c r="F15" s="313"/>
      <c r="G15" s="313"/>
      <c r="H15" s="313"/>
      <c r="I15" s="314"/>
    </row>
    <row r="16" spans="1:11" x14ac:dyDescent="0.25">
      <c r="A16" s="31"/>
      <c r="B16" s="32"/>
      <c r="C16" s="33"/>
      <c r="D16" s="34"/>
      <c r="E16" s="34"/>
      <c r="F16" s="311" t="s">
        <v>71</v>
      </c>
      <c r="G16" s="311"/>
      <c r="H16" s="311"/>
      <c r="I16" s="312"/>
    </row>
    <row r="17" spans="1:11" x14ac:dyDescent="0.25">
      <c r="A17" s="35" t="s">
        <v>2</v>
      </c>
      <c r="B17" s="36" t="s">
        <v>1</v>
      </c>
      <c r="C17" s="59" t="s">
        <v>72</v>
      </c>
      <c r="D17" s="59" t="s">
        <v>73</v>
      </c>
      <c r="E17" s="59" t="s">
        <v>4</v>
      </c>
      <c r="F17" s="59" t="s">
        <v>77</v>
      </c>
      <c r="G17" s="59" t="s">
        <v>74</v>
      </c>
      <c r="H17" s="59" t="s">
        <v>78</v>
      </c>
      <c r="I17" s="60" t="s">
        <v>74</v>
      </c>
    </row>
    <row r="18" spans="1:11" ht="42" customHeight="1" x14ac:dyDescent="0.25">
      <c r="A18" s="37">
        <v>1</v>
      </c>
      <c r="B18" s="38" t="s">
        <v>43</v>
      </c>
      <c r="C18" s="56" t="str">
        <f>Planilha!B3</f>
        <v>CAPELA VELÓRIO DO CEMITÉRIO MUNICIPAL</v>
      </c>
      <c r="D18" s="61" t="s">
        <v>73</v>
      </c>
      <c r="E18" s="39">
        <v>1</v>
      </c>
      <c r="F18" s="49">
        <f>Planilha!H81</f>
        <v>123350.799576</v>
      </c>
      <c r="G18" s="50">
        <f>E18*F18</f>
        <v>123350.799576</v>
      </c>
      <c r="H18" s="50">
        <f>G18+(H5*F18)</f>
        <v>153759.72998973119</v>
      </c>
      <c r="I18" s="51">
        <f>E18*H18</f>
        <v>153759.72998973119</v>
      </c>
    </row>
    <row r="19" spans="1:11" x14ac:dyDescent="0.25">
      <c r="A19" s="304" t="s">
        <v>16</v>
      </c>
      <c r="B19" s="305"/>
      <c r="C19" s="306"/>
      <c r="D19" s="305"/>
      <c r="E19" s="305"/>
      <c r="F19" s="305"/>
      <c r="G19" s="47">
        <f>G18</f>
        <v>123350.799576</v>
      </c>
      <c r="H19" s="40"/>
      <c r="I19" s="48">
        <f>I18</f>
        <v>153759.72998973119</v>
      </c>
      <c r="K19" s="57"/>
    </row>
    <row r="20" spans="1:11" x14ac:dyDescent="0.25">
      <c r="A20" s="41"/>
      <c r="I20" s="15"/>
    </row>
    <row r="21" spans="1:11" x14ac:dyDescent="0.25">
      <c r="A21" s="41"/>
      <c r="I21" s="15"/>
    </row>
    <row r="22" spans="1:11" x14ac:dyDescent="0.25">
      <c r="A22" s="41"/>
      <c r="I22" s="15"/>
    </row>
    <row r="23" spans="1:11" ht="33.75" customHeight="1" x14ac:dyDescent="0.25">
      <c r="A23" s="41"/>
      <c r="B23" s="294" t="s">
        <v>48</v>
      </c>
      <c r="C23" s="294"/>
      <c r="D23" s="294"/>
      <c r="E23" s="294"/>
      <c r="F23" s="294"/>
      <c r="G23" s="294"/>
      <c r="H23" s="294"/>
      <c r="I23" s="295"/>
      <c r="J23" s="42"/>
      <c r="K23" s="42"/>
    </row>
    <row r="24" spans="1:11" x14ac:dyDescent="0.25">
      <c r="A24" s="41"/>
      <c r="B24" s="296" t="s">
        <v>30</v>
      </c>
      <c r="C24" s="296"/>
      <c r="D24" s="296"/>
      <c r="E24" s="296"/>
      <c r="F24" s="296"/>
      <c r="G24" s="296"/>
      <c r="H24" s="296"/>
      <c r="I24" s="297"/>
      <c r="J24" s="43"/>
      <c r="K24" s="43"/>
    </row>
    <row r="25" spans="1:11" x14ac:dyDescent="0.25">
      <c r="A25" s="41"/>
      <c r="B25" s="298" t="s">
        <v>80</v>
      </c>
      <c r="C25" s="298"/>
      <c r="D25" s="298"/>
      <c r="E25" s="298"/>
      <c r="F25" s="298"/>
      <c r="G25" s="298"/>
      <c r="H25" s="298"/>
      <c r="I25" s="299"/>
      <c r="J25" s="44"/>
      <c r="K25" s="44"/>
    </row>
    <row r="26" spans="1:11" x14ac:dyDescent="0.25">
      <c r="A26" s="41"/>
      <c r="B26" s="300" t="s">
        <v>81</v>
      </c>
      <c r="C26" s="300"/>
      <c r="D26" s="300"/>
      <c r="E26" s="300"/>
      <c r="F26" s="300"/>
      <c r="G26" s="300"/>
      <c r="H26" s="300"/>
      <c r="I26" s="301"/>
      <c r="J26" s="45"/>
      <c r="K26" s="45"/>
    </row>
    <row r="27" spans="1:11" ht="15.75" thickBot="1" x14ac:dyDescent="0.3">
      <c r="A27" s="16"/>
      <c r="B27" s="46"/>
      <c r="C27" s="46"/>
      <c r="D27" s="46"/>
      <c r="E27" s="46"/>
      <c r="F27" s="46"/>
      <c r="G27" s="46"/>
      <c r="H27" s="46"/>
      <c r="I27" s="17"/>
    </row>
  </sheetData>
  <mergeCells count="34">
    <mergeCell ref="A1:I1"/>
    <mergeCell ref="A2:C2"/>
    <mergeCell ref="D2:E2"/>
    <mergeCell ref="F2:I2"/>
    <mergeCell ref="A3:I3"/>
    <mergeCell ref="A13:B13"/>
    <mergeCell ref="D4:I4"/>
    <mergeCell ref="A5:C5"/>
    <mergeCell ref="A6:I6"/>
    <mergeCell ref="A7:C8"/>
    <mergeCell ref="D7:G7"/>
    <mergeCell ref="D8:G8"/>
    <mergeCell ref="A4:C4"/>
    <mergeCell ref="D10:E10"/>
    <mergeCell ref="A11:B11"/>
    <mergeCell ref="D11:E11"/>
    <mergeCell ref="A12:B12"/>
    <mergeCell ref="D12:E12"/>
    <mergeCell ref="B23:I23"/>
    <mergeCell ref="B24:I24"/>
    <mergeCell ref="B25:I25"/>
    <mergeCell ref="B26:I26"/>
    <mergeCell ref="D5:E5"/>
    <mergeCell ref="A19:F19"/>
    <mergeCell ref="D13:E13"/>
    <mergeCell ref="A14:B14"/>
    <mergeCell ref="D14:E14"/>
    <mergeCell ref="A15:B15"/>
    <mergeCell ref="D15:E15"/>
    <mergeCell ref="F16:I16"/>
    <mergeCell ref="A9:B9"/>
    <mergeCell ref="D9:E9"/>
    <mergeCell ref="F9:I15"/>
    <mergeCell ref="A10:B10"/>
  </mergeCells>
  <conditionalFormatting sqref="A19 G19:I19">
    <cfRule type="cellIs" dxfId="4" priority="2" stopIfTrue="1" operator="equal">
      <formula>0</formula>
    </cfRule>
    <cfRule type="expression" dxfId="3" priority="3" stopIfTrue="1">
      <formula>SOMA</formula>
    </cfRule>
  </conditionalFormatting>
  <conditionalFormatting sqref="H7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H7:H8">
    <cfRule type="cellIs" dxfId="2" priority="6" stopIfTrue="1" operator="notEqual">
      <formula>IF(H8="x",0)</formula>
    </cfRule>
  </conditionalFormatting>
  <conditionalFormatting sqref="I18">
    <cfRule type="cellIs" dxfId="1" priority="4" stopIfTrue="1" operator="equal">
      <formula>0</formula>
    </cfRule>
    <cfRule type="expression" dxfId="0" priority="5" stopIfTrue="1">
      <formula>SOMA</formula>
    </cfRule>
  </conditionalFormatting>
  <printOptions horizontalCentered="1"/>
  <pageMargins left="0.51181102362204722" right="0.51181102362204722" top="1.7716535433070868" bottom="0.78740157480314965" header="0.31496062992125984" footer="0.31496062992125984"/>
  <pageSetup paperSize="9" scale="68" orientation="portrait" horizontalDpi="300" verticalDpi="300" r:id="rId1"/>
  <headerFooter>
    <oddHeader>&amp;L&amp;G</oddHeader>
    <oddFooter xml:space="preserve">&amp;C&amp;"Times New Roman,Normal"RJ Morais Engenharia e Arquitetura Ltda / CNPJ: 42.441.571/0001-01
www.rjmorais.com.br / rjmorais@rjmorais.com.br / Fone: (37) 99182-8911
Rua Jarbas Ferreira Pires, 440, sala 102, Centro, Arcos/MG, cep 35.588-000&amp;"-,Regular"
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Planilha</vt:lpstr>
      <vt:lpstr>memória de cálculo</vt:lpstr>
      <vt:lpstr>cronograma</vt:lpstr>
      <vt:lpstr>BDI</vt:lpstr>
      <vt:lpstr>BDI!Area_de_impressao</vt:lpstr>
      <vt:lpstr>cronograma!Area_de_impressao</vt:lpstr>
      <vt:lpstr>Planilha!Area_de_impressao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RAFAEL</dc:creator>
  <cp:lastModifiedBy>João Rafael '</cp:lastModifiedBy>
  <cp:lastPrinted>2024-10-03T17:31:44Z</cp:lastPrinted>
  <dcterms:created xsi:type="dcterms:W3CDTF">2018-08-13T11:37:25Z</dcterms:created>
  <dcterms:modified xsi:type="dcterms:W3CDTF">2024-10-03T17:32:56Z</dcterms:modified>
</cp:coreProperties>
</file>