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C:\RJ Morais Engenharia e Empreendimentos\Clientes\A138 - PREFEITURA DE CEDRO DO ABAETÉ\PROJETOS COMPLEMENTARES PARA MUROS\"/>
    </mc:Choice>
  </mc:AlternateContent>
  <xr:revisionPtr revIDLastSave="0" documentId="13_ncr:1_{647D7E8C-5164-43F9-96E6-C18224F2A989}" xr6:coauthVersionLast="47" xr6:coauthVersionMax="47" xr10:uidLastSave="{00000000-0000-0000-0000-000000000000}"/>
  <bookViews>
    <workbookView xWindow="-120" yWindow="-120" windowWidth="20730" windowHeight="11160" xr2:uid="{00000000-000D-0000-FFFF-FFFF00000000}"/>
  </bookViews>
  <sheets>
    <sheet name="Planilha" sheetId="1" r:id="rId1"/>
    <sheet name="memória de cálculo" sheetId="4" r:id="rId2"/>
    <sheet name="cronograma" sheetId="2" r:id="rId3"/>
    <sheet name="BDI" sheetId="5" r:id="rId4"/>
  </sheets>
  <externalReferences>
    <externalReference r:id="rId5"/>
  </externalReferences>
  <definedNames>
    <definedName name="_xlnm.Print_Area" localSheetId="3">BDI!$A$1:$I$27</definedName>
    <definedName name="_xlnm.Print_Area" localSheetId="2">cronograma!$A$2:$K$30</definedName>
    <definedName name="_xlnm.Print_Area" localSheetId="0">Planilha!$A$1:$J$77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 i="4" l="1"/>
  <c r="F13" i="1" s="1"/>
  <c r="H13" i="1" s="1"/>
  <c r="F28" i="1"/>
  <c r="H28" i="1" s="1"/>
  <c r="E14" i="4"/>
  <c r="D14" i="4"/>
  <c r="C14" i="4"/>
  <c r="B14" i="4"/>
  <c r="A14" i="4"/>
  <c r="D13" i="4"/>
  <c r="E28" i="4"/>
  <c r="D28" i="4"/>
  <c r="C28" i="4"/>
  <c r="B28" i="4"/>
  <c r="A28" i="4"/>
  <c r="F26" i="1"/>
  <c r="E25" i="4"/>
  <c r="D25" i="4"/>
  <c r="C25" i="4"/>
  <c r="B25" i="4"/>
  <c r="A25" i="4"/>
  <c r="J20" i="4"/>
  <c r="F20" i="1" s="1"/>
  <c r="F21" i="1"/>
  <c r="H21" i="1" s="1"/>
  <c r="E21" i="4"/>
  <c r="D21" i="4"/>
  <c r="C21" i="4"/>
  <c r="B21" i="4"/>
  <c r="A21" i="4"/>
  <c r="J22" i="4"/>
  <c r="F22" i="1" s="1"/>
  <c r="J24" i="4"/>
  <c r="F24" i="1" s="1"/>
  <c r="J23" i="4"/>
  <c r="F23" i="1" s="1"/>
  <c r="I7" i="5"/>
  <c r="J3" i="1" s="1"/>
  <c r="E13" i="4"/>
  <c r="C13" i="4"/>
  <c r="B13" i="4"/>
  <c r="A13" i="4"/>
  <c r="J19" i="4"/>
  <c r="J9" i="4"/>
  <c r="F63" i="1"/>
  <c r="E62" i="4"/>
  <c r="D62" i="4"/>
  <c r="C62" i="4"/>
  <c r="B62" i="4"/>
  <c r="A62" i="4"/>
  <c r="B23" i="2"/>
  <c r="B21" i="2"/>
  <c r="B19" i="2"/>
  <c r="B17" i="2"/>
  <c r="B15" i="2"/>
  <c r="B13" i="2"/>
  <c r="B11" i="2"/>
  <c r="B9" i="2"/>
  <c r="B7" i="2"/>
  <c r="J72" i="4"/>
  <c r="J65" i="4"/>
  <c r="J70" i="4"/>
  <c r="J69" i="4"/>
  <c r="J57" i="4"/>
  <c r="J61" i="4" s="1"/>
  <c r="F61" i="1" s="1"/>
  <c r="J56" i="4"/>
  <c r="J54" i="4"/>
  <c r="I13" i="1" l="1"/>
  <c r="J13" i="1" s="1"/>
  <c r="I28" i="1"/>
  <c r="J28" i="1" s="1"/>
  <c r="J14" i="4"/>
  <c r="F14" i="1" s="1"/>
  <c r="H14" i="1" s="1"/>
  <c r="J25" i="4"/>
  <c r="F25" i="1" s="1"/>
  <c r="H25" i="1" s="1"/>
  <c r="I14" i="1"/>
  <c r="J14" i="1" s="1"/>
  <c r="I25" i="1"/>
  <c r="I21" i="1"/>
  <c r="J21" i="1" s="1"/>
  <c r="J3" i="4"/>
  <c r="I62" i="1"/>
  <c r="J59" i="4"/>
  <c r="J58" i="4"/>
  <c r="J60" i="4"/>
  <c r="J53" i="4"/>
  <c r="J51" i="4"/>
  <c r="J62" i="4" s="1"/>
  <c r="F62" i="1" s="1"/>
  <c r="H62" i="1" s="1"/>
  <c r="J48" i="4"/>
  <c r="J46" i="4"/>
  <c r="J47" i="4" s="1"/>
  <c r="J35" i="4"/>
  <c r="J25" i="1" l="1"/>
  <c r="J62" i="1"/>
  <c r="J49" i="4"/>
  <c r="F49" i="1" s="1"/>
  <c r="J52" i="4"/>
  <c r="F52" i="1" s="1"/>
  <c r="H52" i="1" s="1"/>
  <c r="F72" i="1"/>
  <c r="F70" i="1"/>
  <c r="F69" i="1"/>
  <c r="F67" i="1"/>
  <c r="F66" i="1"/>
  <c r="F65" i="1"/>
  <c r="F54" i="1"/>
  <c r="H54" i="1" s="1"/>
  <c r="F55" i="1"/>
  <c r="F56" i="1"/>
  <c r="H56" i="1" s="1"/>
  <c r="F57" i="1"/>
  <c r="H57" i="1" s="1"/>
  <c r="F58" i="1"/>
  <c r="H58" i="1" s="1"/>
  <c r="F59" i="1"/>
  <c r="F60" i="1"/>
  <c r="H60" i="1" s="1"/>
  <c r="H61" i="1"/>
  <c r="H63" i="1"/>
  <c r="F53" i="1"/>
  <c r="H53" i="1" s="1"/>
  <c r="F51" i="1"/>
  <c r="H51" i="1" s="1"/>
  <c r="F48" i="1"/>
  <c r="F47" i="1"/>
  <c r="F46" i="1"/>
  <c r="F44" i="1"/>
  <c r="F43" i="1"/>
  <c r="F42" i="1"/>
  <c r="F41" i="1"/>
  <c r="F40" i="1"/>
  <c r="F39" i="1"/>
  <c r="F31" i="1"/>
  <c r="F32" i="1"/>
  <c r="F33" i="1"/>
  <c r="F34" i="1"/>
  <c r="F35" i="1"/>
  <c r="H35" i="1" s="1"/>
  <c r="F36" i="1"/>
  <c r="F37" i="1"/>
  <c r="F30" i="1"/>
  <c r="F29" i="1"/>
  <c r="F18" i="1"/>
  <c r="F19" i="1"/>
  <c r="F17" i="1"/>
  <c r="F16" i="1"/>
  <c r="E72" i="4"/>
  <c r="D72" i="4"/>
  <c r="C72" i="4"/>
  <c r="B72" i="4"/>
  <c r="A72" i="4"/>
  <c r="B71" i="4"/>
  <c r="A71" i="4"/>
  <c r="E70" i="4"/>
  <c r="D70" i="4"/>
  <c r="C70" i="4"/>
  <c r="B70" i="4"/>
  <c r="A70" i="4"/>
  <c r="E69" i="4"/>
  <c r="D69" i="4"/>
  <c r="C69" i="4"/>
  <c r="B69" i="4"/>
  <c r="A69" i="4"/>
  <c r="B68" i="4"/>
  <c r="A68" i="4"/>
  <c r="E67" i="4"/>
  <c r="D67" i="4"/>
  <c r="C67" i="4"/>
  <c r="B67" i="4"/>
  <c r="A67" i="4"/>
  <c r="E66" i="4"/>
  <c r="D66" i="4"/>
  <c r="C66" i="4"/>
  <c r="B66" i="4"/>
  <c r="A66" i="4"/>
  <c r="E65" i="4"/>
  <c r="D65" i="4"/>
  <c r="C65" i="4"/>
  <c r="B65" i="4"/>
  <c r="A65" i="4"/>
  <c r="B64" i="4"/>
  <c r="A64" i="4"/>
  <c r="E63" i="4"/>
  <c r="D63" i="4"/>
  <c r="C63" i="4"/>
  <c r="B63" i="4"/>
  <c r="A63" i="4"/>
  <c r="E61" i="4"/>
  <c r="D61" i="4"/>
  <c r="C61" i="4"/>
  <c r="B61" i="4"/>
  <c r="A61" i="4"/>
  <c r="E60" i="4"/>
  <c r="D60" i="4"/>
  <c r="C60" i="4"/>
  <c r="B60" i="4"/>
  <c r="A60" i="4"/>
  <c r="E59" i="4"/>
  <c r="D59" i="4"/>
  <c r="C59" i="4"/>
  <c r="B59" i="4"/>
  <c r="A59" i="4"/>
  <c r="E58" i="4"/>
  <c r="D58" i="4"/>
  <c r="C58" i="4"/>
  <c r="B58" i="4"/>
  <c r="A58" i="4"/>
  <c r="E57" i="4"/>
  <c r="D57" i="4"/>
  <c r="C57" i="4"/>
  <c r="B57" i="4"/>
  <c r="A57" i="4"/>
  <c r="E56" i="4"/>
  <c r="D56" i="4"/>
  <c r="C56" i="4"/>
  <c r="B56" i="4"/>
  <c r="A56" i="4"/>
  <c r="E55" i="4"/>
  <c r="D55" i="4"/>
  <c r="C55" i="4"/>
  <c r="B55" i="4"/>
  <c r="A55" i="4"/>
  <c r="E54" i="4"/>
  <c r="D54" i="4"/>
  <c r="C54" i="4"/>
  <c r="B54" i="4"/>
  <c r="A54" i="4"/>
  <c r="E53" i="4"/>
  <c r="D53" i="4"/>
  <c r="C53" i="4"/>
  <c r="B53" i="4"/>
  <c r="A53" i="4"/>
  <c r="E52" i="4"/>
  <c r="D52" i="4"/>
  <c r="C52" i="4"/>
  <c r="B52" i="4"/>
  <c r="A52" i="4"/>
  <c r="E51" i="4"/>
  <c r="D51" i="4"/>
  <c r="C51" i="4"/>
  <c r="B51" i="4"/>
  <c r="A51" i="4"/>
  <c r="B50" i="4"/>
  <c r="A50" i="4"/>
  <c r="E49" i="4"/>
  <c r="D49" i="4"/>
  <c r="C49" i="4"/>
  <c r="B49" i="4"/>
  <c r="A49" i="4"/>
  <c r="E48" i="4"/>
  <c r="D48" i="4"/>
  <c r="C48" i="4"/>
  <c r="B48" i="4"/>
  <c r="A48" i="4"/>
  <c r="E47" i="4"/>
  <c r="D47" i="4"/>
  <c r="C47" i="4"/>
  <c r="B47" i="4"/>
  <c r="A47" i="4"/>
  <c r="E46" i="4"/>
  <c r="D46" i="4"/>
  <c r="C46" i="4"/>
  <c r="B46" i="4"/>
  <c r="A46" i="4"/>
  <c r="B45" i="4"/>
  <c r="A45" i="4"/>
  <c r="E44" i="4"/>
  <c r="D44" i="4"/>
  <c r="C44" i="4"/>
  <c r="B44" i="4"/>
  <c r="A44" i="4"/>
  <c r="E43" i="4"/>
  <c r="D43" i="4"/>
  <c r="C43" i="4"/>
  <c r="B43" i="4"/>
  <c r="A43" i="4"/>
  <c r="E42" i="4"/>
  <c r="D42" i="4"/>
  <c r="C42" i="4"/>
  <c r="B42" i="4"/>
  <c r="A42" i="4"/>
  <c r="E41" i="4"/>
  <c r="D41" i="4"/>
  <c r="C41" i="4"/>
  <c r="B41" i="4"/>
  <c r="A41" i="4"/>
  <c r="E40" i="4"/>
  <c r="D40" i="4"/>
  <c r="C40" i="4"/>
  <c r="B40" i="4"/>
  <c r="A40" i="4"/>
  <c r="E39" i="4"/>
  <c r="D39" i="4"/>
  <c r="C39" i="4"/>
  <c r="B39" i="4"/>
  <c r="A39" i="4"/>
  <c r="B38" i="4"/>
  <c r="A38" i="4"/>
  <c r="E37" i="4"/>
  <c r="D37" i="4"/>
  <c r="C37" i="4"/>
  <c r="B37" i="4"/>
  <c r="A37" i="4"/>
  <c r="E36" i="4"/>
  <c r="D36" i="4"/>
  <c r="C36" i="4"/>
  <c r="B36" i="4"/>
  <c r="A36" i="4"/>
  <c r="E35" i="4"/>
  <c r="D35" i="4"/>
  <c r="C35" i="4"/>
  <c r="B35" i="4"/>
  <c r="A35" i="4"/>
  <c r="E34" i="4"/>
  <c r="D34" i="4"/>
  <c r="C34" i="4"/>
  <c r="B34" i="4"/>
  <c r="A34" i="4"/>
  <c r="E33" i="4"/>
  <c r="D33" i="4"/>
  <c r="C33" i="4"/>
  <c r="B33" i="4"/>
  <c r="A33" i="4"/>
  <c r="E32" i="4"/>
  <c r="D32" i="4"/>
  <c r="C32" i="4"/>
  <c r="B32" i="4"/>
  <c r="A32" i="4"/>
  <c r="E31" i="4"/>
  <c r="D31" i="4"/>
  <c r="C31" i="4"/>
  <c r="B31" i="4"/>
  <c r="A31" i="4"/>
  <c r="E30" i="4"/>
  <c r="D30" i="4"/>
  <c r="C30" i="4"/>
  <c r="B30" i="4"/>
  <c r="A30" i="4"/>
  <c r="E29" i="4"/>
  <c r="D29" i="4"/>
  <c r="C29" i="4"/>
  <c r="B29" i="4"/>
  <c r="A29" i="4"/>
  <c r="B27" i="4"/>
  <c r="A27" i="4"/>
  <c r="E26" i="4"/>
  <c r="D26" i="4"/>
  <c r="C26" i="4"/>
  <c r="B26" i="4"/>
  <c r="A26" i="4"/>
  <c r="E24" i="4"/>
  <c r="D24" i="4"/>
  <c r="C24" i="4"/>
  <c r="B24" i="4"/>
  <c r="A24" i="4"/>
  <c r="E23" i="4"/>
  <c r="D23" i="4"/>
  <c r="C23" i="4"/>
  <c r="B23" i="4"/>
  <c r="A23" i="4"/>
  <c r="E22" i="4"/>
  <c r="D22" i="4"/>
  <c r="C22" i="4"/>
  <c r="B22" i="4"/>
  <c r="A22" i="4"/>
  <c r="E20" i="4"/>
  <c r="D20" i="4"/>
  <c r="C20" i="4"/>
  <c r="B20" i="4"/>
  <c r="A20" i="4"/>
  <c r="E19" i="4"/>
  <c r="D19" i="4"/>
  <c r="C19" i="4"/>
  <c r="B19" i="4"/>
  <c r="A19" i="4"/>
  <c r="E18" i="4"/>
  <c r="D18" i="4"/>
  <c r="C18" i="4"/>
  <c r="B18" i="4"/>
  <c r="A18" i="4"/>
  <c r="E17" i="4"/>
  <c r="D17" i="4"/>
  <c r="C17" i="4"/>
  <c r="B17" i="4"/>
  <c r="A17" i="4"/>
  <c r="I63" i="1"/>
  <c r="I61" i="1"/>
  <c r="I60" i="1"/>
  <c r="I59" i="1"/>
  <c r="H59" i="1"/>
  <c r="I58" i="1"/>
  <c r="I57" i="1"/>
  <c r="I56" i="1"/>
  <c r="J56" i="1" s="1"/>
  <c r="I35" i="1"/>
  <c r="J35" i="1" s="1"/>
  <c r="I54" i="1"/>
  <c r="I55" i="1"/>
  <c r="H55" i="1"/>
  <c r="I53" i="1"/>
  <c r="I52" i="1"/>
  <c r="I51" i="1"/>
  <c r="J52" i="1" l="1"/>
  <c r="J57" i="1"/>
  <c r="J58" i="1"/>
  <c r="J60" i="1"/>
  <c r="J55" i="1"/>
  <c r="J53" i="1"/>
  <c r="J61" i="1"/>
  <c r="J63" i="1"/>
  <c r="H50" i="1"/>
  <c r="J54" i="1"/>
  <c r="J59" i="1"/>
  <c r="J51" i="1"/>
  <c r="I44" i="1"/>
  <c r="J44" i="1" s="1"/>
  <c r="H44" i="1"/>
  <c r="I43" i="1"/>
  <c r="J43" i="1" s="1"/>
  <c r="H43" i="1"/>
  <c r="I42" i="1"/>
  <c r="J42" i="1" s="1"/>
  <c r="H42" i="1"/>
  <c r="I41" i="1"/>
  <c r="J41" i="1" s="1"/>
  <c r="H41" i="1"/>
  <c r="I40" i="1"/>
  <c r="J40" i="1" s="1"/>
  <c r="H40" i="1"/>
  <c r="J50" i="1" l="1"/>
  <c r="E18" i="2" s="1"/>
  <c r="I18" i="2" s="1"/>
  <c r="I23" i="1"/>
  <c r="J23" i="1" s="1"/>
  <c r="H23" i="1"/>
  <c r="I22" i="1"/>
  <c r="J22" i="1" s="1"/>
  <c r="H22" i="1"/>
  <c r="I49" i="1"/>
  <c r="I48" i="1"/>
  <c r="H18" i="2" l="1"/>
  <c r="J49" i="1"/>
  <c r="J48" i="1"/>
  <c r="H48" i="1"/>
  <c r="H49" i="1"/>
  <c r="I34" i="1" l="1"/>
  <c r="I33" i="1"/>
  <c r="D4" i="5" l="1"/>
  <c r="C18" i="5" s="1"/>
  <c r="A4" i="5"/>
  <c r="I39" i="1" l="1"/>
  <c r="H66" i="1"/>
  <c r="H70" i="1"/>
  <c r="I70" i="1"/>
  <c r="I66" i="1"/>
  <c r="J70" i="1" l="1"/>
  <c r="J66" i="1"/>
  <c r="H29" i="1"/>
  <c r="H30" i="1"/>
  <c r="H47" i="1"/>
  <c r="H69" i="1"/>
  <c r="H68" i="1" s="1"/>
  <c r="I69" i="1"/>
  <c r="J69" i="1" s="1"/>
  <c r="I37" i="1"/>
  <c r="I47" i="1"/>
  <c r="E16" i="4"/>
  <c r="D16" i="4"/>
  <c r="C16" i="4"/>
  <c r="B16" i="4"/>
  <c r="A16" i="4"/>
  <c r="I30" i="1"/>
  <c r="I29" i="1"/>
  <c r="I36" i="1"/>
  <c r="J33" i="1" l="1"/>
  <c r="H33" i="1"/>
  <c r="H34" i="1"/>
  <c r="J34" i="1"/>
  <c r="J68" i="1"/>
  <c r="E22" i="2" s="1"/>
  <c r="I22" i="2" s="1"/>
  <c r="J36" i="1"/>
  <c r="H39" i="1"/>
  <c r="H38" i="1" s="1"/>
  <c r="H37" i="1"/>
  <c r="J39" i="1"/>
  <c r="J47" i="1"/>
  <c r="J30" i="1"/>
  <c r="J29" i="1"/>
  <c r="H32" i="1"/>
  <c r="I32" i="1"/>
  <c r="J32" i="1" s="1"/>
  <c r="J38" i="1" l="1"/>
  <c r="E14" i="2" s="1"/>
  <c r="I14" i="2" s="1"/>
  <c r="H36" i="1"/>
  <c r="J37" i="1"/>
  <c r="H14" i="2" l="1"/>
  <c r="B15" i="4"/>
  <c r="A15" i="4"/>
  <c r="A10" i="4"/>
  <c r="B10" i="4"/>
  <c r="C10" i="4"/>
  <c r="D10" i="4"/>
  <c r="E10" i="4"/>
  <c r="I72" i="1"/>
  <c r="J72" i="1" l="1"/>
  <c r="J71" i="1" s="1"/>
  <c r="E24" i="2" s="1"/>
  <c r="I24" i="2" s="1"/>
  <c r="H72" i="1"/>
  <c r="H71" i="1" s="1"/>
  <c r="I46" i="1" l="1"/>
  <c r="I31" i="1"/>
  <c r="I26" i="1"/>
  <c r="I24" i="1"/>
  <c r="I20" i="1"/>
  <c r="H20" i="1"/>
  <c r="I19" i="1"/>
  <c r="I18" i="1"/>
  <c r="H18" i="1"/>
  <c r="G10" i="1"/>
  <c r="J18" i="1" l="1"/>
  <c r="J20" i="1"/>
  <c r="I17" i="1" l="1"/>
  <c r="H17" i="1"/>
  <c r="H5" i="5"/>
  <c r="H16" i="1"/>
  <c r="I67" i="1"/>
  <c r="I65" i="1"/>
  <c r="I16" i="1"/>
  <c r="I11" i="1"/>
  <c r="I12" i="1"/>
  <c r="I9" i="1"/>
  <c r="A3" i="5"/>
  <c r="H46" i="1" l="1"/>
  <c r="H45" i="1" s="1"/>
  <c r="J46" i="1"/>
  <c r="J45" i="1" s="1"/>
  <c r="E16" i="2" s="1"/>
  <c r="H31" i="1"/>
  <c r="H27" i="1" s="1"/>
  <c r="J31" i="1"/>
  <c r="H24" i="1"/>
  <c r="J24" i="1"/>
  <c r="J17" i="1"/>
  <c r="J16" i="1"/>
  <c r="A3" i="2"/>
  <c r="J23" i="2"/>
  <c r="J21" i="2"/>
  <c r="I4" i="2"/>
  <c r="A5" i="2"/>
  <c r="A4" i="2"/>
  <c r="B5" i="4"/>
  <c r="B4" i="4"/>
  <c r="B3" i="4"/>
  <c r="J27" i="1" l="1"/>
  <c r="E12" i="2" s="1"/>
  <c r="H16" i="2"/>
  <c r="G16" i="2"/>
  <c r="I10" i="1"/>
  <c r="F9" i="1"/>
  <c r="J9" i="1" s="1"/>
  <c r="F11" i="1"/>
  <c r="F12" i="1"/>
  <c r="F10" i="1"/>
  <c r="A8" i="4"/>
  <c r="A11" i="4"/>
  <c r="B11" i="4"/>
  <c r="C11" i="4"/>
  <c r="D11" i="4"/>
  <c r="E11" i="4"/>
  <c r="A12" i="4"/>
  <c r="B12" i="4"/>
  <c r="C12" i="4"/>
  <c r="D12" i="4"/>
  <c r="E12" i="4"/>
  <c r="E9" i="4"/>
  <c r="D9" i="4"/>
  <c r="C9" i="4"/>
  <c r="B9" i="4"/>
  <c r="A9" i="4"/>
  <c r="B8" i="4"/>
  <c r="G12" i="2" l="1"/>
  <c r="F12" i="2"/>
  <c r="H12" i="2"/>
  <c r="J19" i="1"/>
  <c r="H19" i="1"/>
  <c r="H26" i="1"/>
  <c r="J26" i="1"/>
  <c r="H11" i="1"/>
  <c r="J11" i="1"/>
  <c r="J10" i="1"/>
  <c r="H12" i="1"/>
  <c r="J12" i="1"/>
  <c r="J8" i="1" l="1"/>
  <c r="H15" i="1"/>
  <c r="J15" i="1"/>
  <c r="E10" i="2" s="1"/>
  <c r="G10" i="2" l="1"/>
  <c r="G25" i="2" s="1"/>
  <c r="F10" i="2"/>
  <c r="J65" i="1"/>
  <c r="H65" i="1"/>
  <c r="J67" i="1" l="1"/>
  <c r="H67" i="1"/>
  <c r="H64" i="1" s="1"/>
  <c r="J64" i="1" l="1"/>
  <c r="E20" i="2" s="1"/>
  <c r="I20" i="2" s="1"/>
  <c r="I25" i="2" s="1"/>
  <c r="H10" i="1"/>
  <c r="J22" i="2" l="1"/>
  <c r="H2" i="4"/>
  <c r="H1" i="4"/>
  <c r="J19" i="2" l="1"/>
  <c r="J17" i="2"/>
  <c r="J15" i="2"/>
  <c r="J13" i="2"/>
  <c r="J11" i="2"/>
  <c r="J9" i="2"/>
  <c r="J7" i="2"/>
  <c r="J24" i="2" l="1"/>
  <c r="J10" i="2" l="1"/>
  <c r="H9" i="1" l="1"/>
  <c r="H8" i="1" l="1"/>
  <c r="H73" i="1" s="1"/>
  <c r="F18" i="5" s="1"/>
  <c r="J73" i="1"/>
  <c r="D5" i="5" s="1"/>
  <c r="H18" i="5" s="1"/>
  <c r="E8" i="2"/>
  <c r="E25" i="2" l="1"/>
  <c r="F8" i="2"/>
  <c r="F25" i="2" s="1"/>
  <c r="H25" i="2"/>
  <c r="E17" i="2" l="1"/>
  <c r="E15" i="2"/>
  <c r="E21" i="2"/>
  <c r="E13" i="2"/>
  <c r="E19" i="2"/>
  <c r="E9" i="2"/>
  <c r="E23" i="2"/>
  <c r="E11" i="2"/>
  <c r="I18" i="5"/>
  <c r="I19" i="5" s="1"/>
  <c r="G18" i="5"/>
  <c r="G19" i="5" s="1"/>
  <c r="J14" i="2"/>
  <c r="J8" i="2"/>
  <c r="J18" i="2" l="1"/>
  <c r="J16" i="2"/>
  <c r="J12" i="2"/>
  <c r="J20" i="2" l="1"/>
  <c r="J25" i="2" s="1"/>
  <c r="E7" i="2"/>
</calcChain>
</file>

<file path=xl/sharedStrings.xml><?xml version="1.0" encoding="utf-8"?>
<sst xmlns="http://schemas.openxmlformats.org/spreadsheetml/2006/main" count="518" uniqueCount="287">
  <si>
    <t xml:space="preserve">UN </t>
  </si>
  <si>
    <t>CÓDIGO</t>
  </si>
  <si>
    <t>ITEM</t>
  </si>
  <si>
    <t>DISCRIMINAÇÃO</t>
  </si>
  <si>
    <t>QUANT.</t>
  </si>
  <si>
    <t>PREÇO DE CUSTO</t>
  </si>
  <si>
    <t>PR. UNITÁRIO</t>
  </si>
  <si>
    <t>PR. TOTAL</t>
  </si>
  <si>
    <t>PLANILHA DE CUSTOS</t>
  </si>
  <si>
    <t>VALOR TOTAL GLOBAL</t>
  </si>
  <si>
    <t>(1 - (I + CPRB))</t>
  </si>
  <si>
    <t>Observação:
Composição do BDI conforme parâmetros do Acórdão
2622/2013 do TCU</t>
  </si>
  <si>
    <t>ED-50266</t>
  </si>
  <si>
    <t>CRONOGRAMA FÍSICO-FINANCEIRO</t>
  </si>
  <si>
    <t>ETAPAS/DESCRIÇÃO</t>
  </si>
  <si>
    <t>FÍSICO/ FINANCEIRO</t>
  </si>
  <si>
    <t>TOTAL  ETAPAS</t>
  </si>
  <si>
    <t>MÊS 1</t>
  </si>
  <si>
    <t>MÊS 2</t>
  </si>
  <si>
    <t>TOTAL</t>
  </si>
  <si>
    <t>Físico %</t>
  </si>
  <si>
    <t>Financeiro</t>
  </si>
  <si>
    <t>SERVIÇOS PRELIMINARES</t>
  </si>
  <si>
    <t>3.1</t>
  </si>
  <si>
    <t>3.2</t>
  </si>
  <si>
    <t>4.1</t>
  </si>
  <si>
    <t>1.1</t>
  </si>
  <si>
    <t>ED-16660</t>
  </si>
  <si>
    <t>Setop</t>
  </si>
  <si>
    <r>
      <t xml:space="preserve"> </t>
    </r>
    <r>
      <rPr>
        <b/>
        <u/>
        <sz val="15"/>
        <color rgb="FF000000"/>
        <rFont val="Arial"/>
        <family val="2"/>
      </rPr>
      <t>1 + (AC + S + G + R)) x (1 + DF) x (1 + L)</t>
    </r>
  </si>
  <si>
    <t>BDI=</t>
  </si>
  <si>
    <t>5.1</t>
  </si>
  <si>
    <t>____________________________________</t>
  </si>
  <si>
    <t>LIMPEZA FINAL PARA ENTREGA DA OBRA</t>
  </si>
  <si>
    <t>MEMÓRIA DE CÁLCULO</t>
  </si>
  <si>
    <t>DESCRIÇÃO</t>
  </si>
  <si>
    <t>FÓRMULA</t>
  </si>
  <si>
    <t>QUANTIDADE</t>
  </si>
  <si>
    <t>FORNECIMENTO E COLOCAÇÃO DE PLACA DE OBRA EM CHAPA GALVANIZADA #26, ESP. 0,45 MM, PLOTADA COM ADESIVO VINÍLICO, AFIXADA COM REBITES 4,8X40 MM, EM ESTRUTURA METÁLICA DE METALON 20X20 MM, ESP. 1,25 MM, INCLUSIVE SUPORTE EM EUCALIPTO AUTOCLAVADO PINTADO COM TINTA PVA 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</si>
  <si>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MÊS 3</t>
  </si>
  <si>
    <t>3.3</t>
  </si>
  <si>
    <t>5.2</t>
  </si>
  <si>
    <t>6.1</t>
  </si>
  <si>
    <t>2.1</t>
  </si>
  <si>
    <t>m</t>
  </si>
  <si>
    <t>m²</t>
  </si>
  <si>
    <t>MÊS 4</t>
  </si>
  <si>
    <t>JOÃO RAFAEL BUENO DE MORAIS LOPES</t>
  </si>
  <si>
    <t>CREA-MG:235527/D</t>
  </si>
  <si>
    <t xml:space="preserve">PRAZO </t>
  </si>
  <si>
    <t>CREA/MG</t>
  </si>
  <si>
    <t>vb</t>
  </si>
  <si>
    <t>m³</t>
  </si>
  <si>
    <t>un</t>
  </si>
  <si>
    <t>1.2</t>
  </si>
  <si>
    <t>1.3</t>
  </si>
  <si>
    <t>LOCAÇÃO DE CONTAINER COM ISOLAMENTO TÉRMICO, TIPO 3, PARA DEPÓSITO/FERRAMENTARIA DE OBRA, COM MEDIDAS REFERENCIAIS DE (6) METROS COMPRIMENTO, (2,3) METROS LARGURA E (2,5) METROS ALTURA ÚTIL INTERNA, INCLUSIVE LIGAÇÕES ELÉTRICAS INTERNAS, EXCLUSIVE MOBILIZAÇÃO/ DESMOBILIZAÇÃO E LIGAÇÕES PROVISÓRIAS EXTERNAS</t>
  </si>
  <si>
    <t>ED-16350</t>
  </si>
  <si>
    <t>mês</t>
  </si>
  <si>
    <t>MOBILIZAÇÃO E DESMOBILIZAÇÃO DE CONTAINER, INCLUSIVE CARGA, DESCARGA E TRANSPORTE EM CAMINHÃO CARROCERIA COM GUINDAUTO (MUNCK), EXCLUSIVE LOCAÇÃO DO CONTAINER</t>
  </si>
  <si>
    <t>ED-50137</t>
  </si>
  <si>
    <t>1.4</t>
  </si>
  <si>
    <t>comprimento x altura</t>
  </si>
  <si>
    <t>unidade</t>
  </si>
  <si>
    <t>cronograma</t>
  </si>
  <si>
    <t>-</t>
  </si>
  <si>
    <t xml:space="preserve">ED-50451 </t>
  </si>
  <si>
    <t>ANOTAÇÃO DE RESPONSABILIDADE TÉCNICA DE EXECUÇÃO / EMISSÃO DE CAT</t>
  </si>
  <si>
    <t>TOTAL POR PERÍODO</t>
  </si>
  <si>
    <t>OBS: 1) Todos os itens deverão estar completamente concluídos e dentro das especificações de projetos para medição da etapa.</t>
  </si>
  <si>
    <t>OBS: 1) Todos os itens deverão estar completamente concluídos e dentro das especificações de projetos para medição da etapa. Os materiais empregados, deverão rigorosamente seguri as especificações de qualidade destacadas na presente planilha.</t>
  </si>
  <si>
    <t>BDI</t>
  </si>
  <si>
    <t>_______________________________________________</t>
  </si>
  <si>
    <t>COMPOSIÇÃO DE BDI</t>
  </si>
  <si>
    <t>DATA BASE: SETOP 03/2022</t>
  </si>
  <si>
    <t>DATA: JUNHO/2022</t>
  </si>
  <si>
    <t>ORGÃO GESTOR: PREFEITURA MUNICIPAL DE CEDRO DO ABAETÉ-MG</t>
  </si>
  <si>
    <t xml:space="preserve"> </t>
  </si>
  <si>
    <t>SEM Desoneração: Digite S(sim) ou N(não)</t>
  </si>
  <si>
    <t>N</t>
  </si>
  <si>
    <t>COM Desoneração: Digite S(sim) ou N(não)</t>
  </si>
  <si>
    <t>S</t>
  </si>
  <si>
    <t>Garantia (G):</t>
  </si>
  <si>
    <t xml:space="preserve"> 0,80% a 1,00%</t>
  </si>
  <si>
    <t>Composição do BDI, intervalos admissíveis e Fórmula de cálculo nos termos do Acórdão 2622/2013 do TCU.</t>
  </si>
  <si>
    <t>Risco (R) :</t>
  </si>
  <si>
    <t>0,97% a 1,27%</t>
  </si>
  <si>
    <t>Desp. financeiras (DF):</t>
  </si>
  <si>
    <t>0,59% a 1,39%</t>
  </si>
  <si>
    <t>Adm. Central (AC):</t>
  </si>
  <si>
    <t>3,00% a 5,50%</t>
  </si>
  <si>
    <t>Lucro (L):</t>
  </si>
  <si>
    <t>6,16% a 8,96%</t>
  </si>
  <si>
    <t>CPRB:</t>
  </si>
  <si>
    <t>Tributos (T):</t>
  </si>
  <si>
    <t>VALORES (R$)</t>
  </si>
  <si>
    <t>DESCRIÇÃO DOS SERVIÇOS</t>
  </si>
  <si>
    <t xml:space="preserve">UND. </t>
  </si>
  <si>
    <t>TOTAL ITEM</t>
  </si>
  <si>
    <t>VALOR TOTAL DO EMPREENDIMENTO</t>
  </si>
  <si>
    <t>UNITÁRIO S/ BDI</t>
  </si>
  <si>
    <t>UNITÁRIO C/BDI</t>
  </si>
  <si>
    <t>PREÇO DE CUSTO COM BDI(24,00%)</t>
  </si>
  <si>
    <t>2.2</t>
  </si>
  <si>
    <t xml:space="preserve">ENGENHEIRO CIVIL </t>
  </si>
  <si>
    <t>CREA - 235.527/D</t>
  </si>
  <si>
    <t>2.3</t>
  </si>
  <si>
    <t>setop</t>
  </si>
  <si>
    <t>2.4</t>
  </si>
  <si>
    <t>2.5</t>
  </si>
  <si>
    <t>6.2</t>
  </si>
  <si>
    <t>6.3</t>
  </si>
  <si>
    <t>6.4</t>
  </si>
  <si>
    <t>7.1</t>
  </si>
  <si>
    <t>7.2</t>
  </si>
  <si>
    <t>7.3</t>
  </si>
  <si>
    <t>3.4</t>
  </si>
  <si>
    <t>3.5</t>
  </si>
  <si>
    <t>3.6</t>
  </si>
  <si>
    <t>3.7</t>
  </si>
  <si>
    <t>3.8</t>
  </si>
  <si>
    <t>3.9</t>
  </si>
  <si>
    <t>8.1</t>
  </si>
  <si>
    <t>8.2</t>
  </si>
  <si>
    <t>9.1</t>
  </si>
  <si>
    <t>JOÃO RAFAEL BUENO DE MORAIS LOPES
CREA-MG: 235527/D</t>
  </si>
  <si>
    <t>Data-Base (mês de ref.): SINAPI/FEV 2023 - SETOP/JAN 2023</t>
  </si>
  <si>
    <t>5.3</t>
  </si>
  <si>
    <t>5.4</t>
  </si>
  <si>
    <t>MURO DE ARRIMO</t>
  </si>
  <si>
    <t>MOBILIZAÇÃO E DESMOBILIZAÇÃO DE EQUIPAMENTO PARA ESTACA TIPO STRAUSS (CUSTO FIXO), INCLUSIVE CARGA E DESCARGA, EXCLUSIVE TRANSPORTE EM QUILÔMETRO RODADO (CUSTO VARIÁVEL)</t>
  </si>
  <si>
    <t xml:space="preserve">ED-29821  </t>
  </si>
  <si>
    <t>EXECUÇÃO DE ESTACA TIPO STRAUSS, DIÂMETRO 45CM,EXCLUSIVE ARMAÇÃO E CONCRETO ESTRUTURAL</t>
  </si>
  <si>
    <t>ED-26525</t>
  </si>
  <si>
    <t>ESCAVAÇÃO MANUAL DE TUBULÃO A CÉU ABERTO, INCLUSIVE DESCARGA LATERAL</t>
  </si>
  <si>
    <t>ED-49777</t>
  </si>
  <si>
    <t>FÔRMA E DESFORMA PARA CORTINA DE CONCRETO OU PAREDE ESTRUTURAL (VIGA-PAREDE), ALTURA MÁXIMA DE 360CM, COM CHAPA DE COMPENSADO PLASTIFICADO, ESP. 18MM, REAPROVEITAMENTO (3X), INCLUSIVE TRAVAMENTO COM TIRANTES EM ARAME E ESCORA PARA PRUMO EM MADEIRA</t>
  </si>
  <si>
    <t xml:space="preserve">ED-15690 </t>
  </si>
  <si>
    <t>CORTE, DOBRA E MONTAGEM DE AÇO CA-50/60, INCLUSIVE ESPAÇADOR</t>
  </si>
  <si>
    <t>ED-48298</t>
  </si>
  <si>
    <t>kg</t>
  </si>
  <si>
    <t>REVESTIMENTO COM IMPERMEABILIZANTE EM DUAS (2) CAMADAS SOBREPOSTAS DE ARGAMASSA, TRAÇO 1:3 (CIMENTO E AREIA) COM ADITIVO IMPERMEABILIZANTE, ESP. 20MM, INCLUSIVE PINTURA COM DUAS (2) DEMÃOS COM EMULSÃO ASFÁLTICA</t>
  </si>
  <si>
    <t>ED-50764</t>
  </si>
  <si>
    <t>2.6</t>
  </si>
  <si>
    <t>2.7</t>
  </si>
  <si>
    <t>2.8</t>
  </si>
  <si>
    <t>2.9</t>
  </si>
  <si>
    <t>COLCHÃO DRENANTE DE BRITA COM GEOTEXTIL NÃO TECIDO (EXECUÇÃO, INCLUINDO ESPALHAMENTO E FORNECIMENTO DE TODOS OS MATERIAIS, EXCETO TRANSPORTE DOS AGREGADOS)</t>
  </si>
  <si>
    <t>RO-43118</t>
  </si>
  <si>
    <t>COMPACTAÇÃO MECANIZADA DE ATERRO COM PLACA VIBRATÓRIA, INCLUSIVE ESPALHAMENTO MANUAL</t>
  </si>
  <si>
    <t>ED-51096</t>
  </si>
  <si>
    <t>DRENAGEM PLUVIAL</t>
  </si>
  <si>
    <t>BOCA DE LOBO SIMPLES (TIPO B - CONCRETO), QUADRO, GRELHA E CANTONEIRA, INCLUSIVE ESCAVAÇÃO, REATERRO E BOTAFORA</t>
  </si>
  <si>
    <t>ED-48550</t>
  </si>
  <si>
    <t>U</t>
  </si>
  <si>
    <t>BOCA DE LOBO DUPLA (TIPO B - CONCRETO), QUADRO, GRELHA E  CANTONEIRA, INCLUSIVE ESCAVAÇÃO, REATERRO E BOTA-FORA</t>
  </si>
  <si>
    <t>ED-48551</t>
  </si>
  <si>
    <t>ALA DE REDE TUBULAR DN 500, EXCLUSIVE BOTA FORA</t>
  </si>
  <si>
    <t xml:space="preserve">ED-48539 </t>
  </si>
  <si>
    <t>TUBO DE CONCRETO SIMPLES, CLASSE PS1, DIÂMETRO 400MM, INCLUSIVE FORNECIMENTO, ASSENTAMENTO E REJUNTAMENTO, EXCLUSIVE ESCAVAÇÃO</t>
  </si>
  <si>
    <t>ED-48676</t>
  </si>
  <si>
    <t>TUBO DE CONCRETO SIMPLES, CLASSE PS1, DIÂMETRO 500MM, INCLUSIVE FORNECIMENTO, ASSENTAMENTO E REJUNTAMENTO, EXCLUSIVE ESCAVAÇÃO</t>
  </si>
  <si>
    <t>ED-48677</t>
  </si>
  <si>
    <t>SARJETA DE CONCRETO URBANO (SCU), TIPO 2, COM FCK 15 MPA , LARGURA DE 50CM COM INCLINAÇÃO DE 15%, ESP. 7CM, PADRÃO DER-MG, EXCLUSIVE MEIO-FIO, INCLUSIVE ESCAVAÇÃO, APILAOMENTO E TRANSPORTE COM RETIRADA DO MATERIAL ESCAVADO (EM CAÇAMBA)</t>
  </si>
  <si>
    <t>ED-14763</t>
  </si>
  <si>
    <t>DESCIDA D´ÁGUA TIPO DEGRAU DN 500, EXCLUSIVE BOTA FORA</t>
  </si>
  <si>
    <t>ED-48588</t>
  </si>
  <si>
    <t>INSTALAÇÕES ELÉTRICAS</t>
  </si>
  <si>
    <t>CABO DE COBRE FLEXÍVEL, CLASSE 5, ISOLAMENTO TIPO EPR/HEPR, NÃO HALOGENADO, ANTICHAMA, TERMOFIXO, UNIPOLAR, SEÇÃO 16 MM2, 90°C, 0,6/1KV</t>
  </si>
  <si>
    <t>ED-49001</t>
  </si>
  <si>
    <t>CABO DE COBRE FLEXÍVEL, CLASSE 5, ISOLAMENTO TIPO EPR/HEPR, NÃO HALOGENADO, ANTICHAMA, TERMOFIXO, UNIPOLAR, SEÇÃO 2,5 MM2, 90°C, 0,6/1KV</t>
  </si>
  <si>
    <t>ED-48989</t>
  </si>
  <si>
    <t>ED-49132</t>
  </si>
  <si>
    <t>HASTE DE AÇO COBREADA PARA ATERRAMENTO DIÂMETRO 3/4"X 2400 MM,CONFORME PADRÕES TELEBRÁS</t>
  </si>
  <si>
    <t xml:space="preserve">ED-49343 </t>
  </si>
  <si>
    <t>CAIXA DE PASSAGEM EM ALVENARIA E TAMPA DE CONCRETO, FUNDO DE BRITA, TIPO 1, 50 X 50 X 60 CM, INCLUSIVE
ESCAVAÇÃO, REATERRO E BOTA-FORA</t>
  </si>
  <si>
    <t>ED-49170</t>
  </si>
  <si>
    <t>ELETRODUTO DE PVC RÍGIDO ROSCÁVEL, DN 40 MM (1.1/2"), INCLUSIVE CONEXÕES, SUPORTES E FIXAÇÃO</t>
  </si>
  <si>
    <t>ED-49311</t>
  </si>
  <si>
    <t>PAVIMENTAÇÃO</t>
  </si>
  <si>
    <t>REGULARIZAÇÃO E COMPACTAÇÃO MECÂNICA DE TERRENO COM ROLO VIBRATÓRIO, EXCLUSIVE DESMATAMENTO, DESTOCAMENTO, LIMPEZA/ROÇADA DO TERRENO</t>
  </si>
  <si>
    <t xml:space="preserve">ED-51124 </t>
  </si>
  <si>
    <t xml:space="preserve">RO-41081 </t>
  </si>
  <si>
    <t>REGULARIZAÇÃO DO SUB-LEITO (PROCTOR NORMAL)</t>
  </si>
  <si>
    <t>RO-43113</t>
  </si>
  <si>
    <t>BASE DE SOLO SEM MISTURA, COMPACTADA NA ENERGIA DO PROCTOR INTERMEDIÁRIO (EXECUÇÃO, INCLUINDO ESCAVAÇÃO, CARGA, DESCARGA, ESPALHAMENTO, UMIDECIMENTO E COMPACTAÇÃO DO MATERIAL; EXCLUI AQUISIÇÃO E TRANSPORTE DO MATERIAL)</t>
  </si>
  <si>
    <t>EXECUÇÃO DE PAVIMENTO INTERTRAVADO, ESPESSURA 10CM, FCK 40MPA, INCLUINDO FORNECIMENTO E TRANSPORTE DE TODOS OS MATERIAIS E COLCHÃO DE ASSENTAMENTO COM ESPESSURA 6CM</t>
  </si>
  <si>
    <t>ED-50420</t>
  </si>
  <si>
    <t>CALÇADA</t>
  </si>
  <si>
    <t>PISO EM CONCRETO, USINADO CONVENCIONAL, FCK 15MPA, COM TELA SOLDADA NERVURADA TIPO Q-138, ACABAMENTO POLÍDO EM NÍVEL ZERO, ESP. 10CM, INCLUSIVE FORNECIMENTO, LANÇAMENTO, ADENSAMENTO, EXCLUSIVE JUNTA DE DILATAÇÃO</t>
  </si>
  <si>
    <t xml:space="preserve">ED-9320 </t>
  </si>
  <si>
    <t>LASTRO DE BRITA COM PEDRA BRITADA NÚMERO 2 E 3, INCLUSIVE ADENSAMENTO E APILOAMENTO MANUAL</t>
  </si>
  <si>
    <t>ED-49813</t>
  </si>
  <si>
    <t>GUIA DE MEIO-FIO, EM CONCRETO COM FCK 20MPA, PRÉMOLDADA, MFC-01 PADRÃO DER-MG, DIMENSÕES (12X16,7X35)CM, EXCLUSIVE SARJETA, INCLUSIVE ESCAVAÇÃO, APILOAMENTO E TRANSPORTE COM RETIRADA DO MATERIAL ESCAVADO (EM CAÇAMBA)</t>
  </si>
  <si>
    <t>ED-51139</t>
  </si>
  <si>
    <t>PAISAGISMO</t>
  </si>
  <si>
    <t>PLANTIO DE GRAMA ESMERALDA EM PLACAS, INCLUSIVE TERRA VEGETAL E CONSERVAÇÃO POR TRINTA (30) DIAS</t>
  </si>
  <si>
    <t>ED-50437</t>
  </si>
  <si>
    <t>FORNECIMENTO DE ÁRVORE ACÁSSIA MIMOSA COM ALTURA MÉDIA DE 2,00M, EXCLUSIVE PLANTIO</t>
  </si>
  <si>
    <t>ED-50441</t>
  </si>
  <si>
    <t>ED-50432</t>
  </si>
  <si>
    <t xml:space="preserve"> CANALETA PARA DRENAGEM, EM CONCRETO COM FCK 15MPA, MOLDADA IN LOCO, SEÇÃO 30X20CM, FORMA EM MADEIRA, COM GRELHA EM BARRA REDONDA DN 12,5MM (1/2") E REQUADRO EM BARRA REDONDA DN 20MM (3/4") COM UMA (1) DEMÃO DE FUNDO ANTICORROSIVO E DUAS (2) DEMÃOS DE PINTURA ESMALTE, INCLUSIVE ESCAVAÇÃO, REATERRO COM TRANSPORTE E RETIRADA DO MATERIAL ESCAVADO (EM CAÇAMBA)</t>
  </si>
  <si>
    <t>ED-14746</t>
  </si>
  <si>
    <t>PLACA DE AÇO CARBONO COM PELÍCULA REFLETIVA ALTA INTENSIDADE PRISMÁTICA TIPO III DA ABNT - PLACA RETANGULAR (EXECUÇÃO, INCLUINDO FORNECIMENTO E TRANSPORTE DE TODOS OS MATERIAIS, INCLUSIVE POSTES DE SUSTENTAÇÃO)</t>
  </si>
  <si>
    <t xml:space="preserve">RO-42981 </t>
  </si>
  <si>
    <t>SINALIZAÇÃO</t>
  </si>
  <si>
    <t>LINHAS DE RESINA ACRILICA 0,6MM COM LARGURA &gt; 0,30M (EXECUÇÃO, INCLUSIVE PRÉ-MARCAÇÃO, FORNECIMENTO E TRANSPORTE DE TODOS OS MATERIAIS)</t>
  </si>
  <si>
    <t>RO-41243</t>
  </si>
  <si>
    <t>ALVENARIA DE VEDAÇÃO COM TIJOLO MACIÇO REQUEIMADO, ESP. 10CM, PARA REVESTIMENTO, INCLUSIVE ARGAMASSA PARA ASSENTAMENTO</t>
  </si>
  <si>
    <t>ED-48227</t>
  </si>
  <si>
    <t>CHAPISCO COM ARGAMASSA, TRAÇO 1:3 (CIMENTO E AREIA), ESP . 5MM, APLICADO EM ALVENARIA/ESTRUTURA DE CONCRETO COM COLHER, PREPARO MECÂNICO</t>
  </si>
  <si>
    <t xml:space="preserve">ED-50727 </t>
  </si>
  <si>
    <t>EMBOÇO COM ARGAMASSA, TRAÇO 1:6 (CIMENTO E AREIA), ESP. 20MM, APLICAÇÃO MANUAL, PREPARO MECÂNICO</t>
  </si>
  <si>
    <t>ED-50732</t>
  </si>
  <si>
    <t>REBOCO COM ARGAMASSA, TRAÇO 1:2:8 (CIMENTO, CAL E AREIA), ESP. 20MM, APLICAÇÃO MANUAL, PREPARO MECÂNICO</t>
  </si>
  <si>
    <t xml:space="preserve">ED-50761 </t>
  </si>
  <si>
    <t>PREPARAÇÃO PARA EMASSAMENTO OU PINTURA (LÁTEX/ACRÍLICA) EM PAREDE, INCLUSIVE UMA (1) DEMÃO DE SELADORACRÍLICO</t>
  </si>
  <si>
    <t xml:space="preserve">ED-50514 </t>
  </si>
  <si>
    <t>PINTURA ACRÍLICA EM PAREDE, DUAS (2) DEMÃOS, EXCLUSIVE SELADOR ACRÍLICO E MASSA ACRÍLICA/CORRIDA (PVA)</t>
  </si>
  <si>
    <t>PLANTIO E PREPARO DE COVAS PARA ÁRVORES COM ALTURA MÉDIA DE 2,00M, DIMENSÕES (60X60X60)CM , EXCLUSIVE FORNECIMENTO DAS MUDAS</t>
  </si>
  <si>
    <t>RAMPA PARA ACESSO DE DEFICIENTE, EM CONCRETO SIMPLES FCK = 25 MPA, DESEMPENADA, COM PINTURA INDICATIVA, 02 DEMÃOS</t>
  </si>
  <si>
    <t>ED-51148</t>
  </si>
  <si>
    <t>4.2</t>
  </si>
  <si>
    <t>4.4</t>
  </si>
  <si>
    <t>4.5</t>
  </si>
  <si>
    <t>4.3</t>
  </si>
  <si>
    <t>4.6</t>
  </si>
  <si>
    <t>6.5</t>
  </si>
  <si>
    <t>6.6</t>
  </si>
  <si>
    <t>6.7</t>
  </si>
  <si>
    <t>6.8</t>
  </si>
  <si>
    <t>6.9</t>
  </si>
  <si>
    <t>6.10</t>
  </si>
  <si>
    <t>6.11</t>
  </si>
  <si>
    <t>6.12</t>
  </si>
  <si>
    <t>REESTRUTURAÇÃO DO MURO DE ARRIMO DA RUA JÕAO RODRIGUES DOS SANTOS, TRECHOS ENTRE AS RUAS NOSSA SENHORA APARECIDA E DOM BOSCO</t>
  </si>
  <si>
    <t>PREFEITURA MUNICIPAL DE CEDRO DO ABAETÉ - MG</t>
  </si>
  <si>
    <t>LOCAL: RUA JOÃO RODRIGUES DOS SANTOS, CEDRO DO ABAETÉ - MG</t>
  </si>
  <si>
    <t>DATA = ABRIL DE 2023</t>
  </si>
  <si>
    <t>Quant. Proj. Estrutural</t>
  </si>
  <si>
    <t>Quant. Proj. Arq.</t>
  </si>
  <si>
    <t>Quant. Proj. Drenagem Pluvial</t>
  </si>
  <si>
    <t>Quant. Proj. Elétrico</t>
  </si>
  <si>
    <t>138,95*6</t>
  </si>
  <si>
    <t>Espessura = 20cm
Volume = 0,2*833,70</t>
  </si>
  <si>
    <t>149,75*3</t>
  </si>
  <si>
    <t>Espessura = 20cm
Volume = 0,2*449,25</t>
  </si>
  <si>
    <t>Espessura = 6cm
Volume = 0,06*449,25</t>
  </si>
  <si>
    <t>14,62*2</t>
  </si>
  <si>
    <t>Placa A-32B2 (Passagem de pedestre com faixa elevada)
2un = 0,6*0,8</t>
  </si>
  <si>
    <t>Largura faixa de pedestre = 4m
Área = 4*6</t>
  </si>
  <si>
    <t>14*8,27</t>
  </si>
  <si>
    <t>Pavimentação = 833,70
Calçada = 333,47
Área de grama = 115,78</t>
  </si>
  <si>
    <t>CABO DE COBRE NU # 10 MM2, ENTERRADO, EXCLUSIVE ESCAVAÇÃO E REATERRO</t>
  </si>
  <si>
    <t>120 DIAS</t>
  </si>
  <si>
    <t>6.13</t>
  </si>
  <si>
    <t>1,5*3</t>
  </si>
  <si>
    <t>886,47/3</t>
  </si>
  <si>
    <t>Quant. Proj. Arq.
Prancha 02/02</t>
  </si>
  <si>
    <t>Muretas= 14*(5,22+5,22)*0,1
(Detalhe de paisagismo)</t>
  </si>
  <si>
    <t>PINTURA ACRÍLICA PARA PISO EM PASSEIO/SUPERFÍCIE CIMENTADA, DUAS (2) DEMÃOS</t>
  </si>
  <si>
    <t>ED-50459</t>
  </si>
  <si>
    <t>1.5</t>
  </si>
  <si>
    <t>ALVENARIA DE BLOCO DE CONCRETO CHEIO COM ARMAÇÃO, EM CONCRETO COM FCK 15MPA , ESP. 19CM, PARA REVESTIMENTO, INCLUSIVE ARGAMASSA PARA ASSENTAMENTO (DETALHE D - CADERNO SEDS)</t>
  </si>
  <si>
    <t>ED-48214</t>
  </si>
  <si>
    <r>
      <t xml:space="preserve"> </t>
    </r>
    <r>
      <rPr>
        <b/>
        <u/>
        <sz val="12"/>
        <color rgb="FF000000"/>
        <rFont val="Arial"/>
        <family val="2"/>
      </rPr>
      <t>1 + (AC + S + G + R)) x (1 + DF) x (1 + L)</t>
    </r>
  </si>
  <si>
    <t>Á revestimento = Área do muro x2
Área total por trecho:
Trecho 1= 22,14m²
Trecho 2= 22,43
Trecho 3= 9,79
Trecho 4= 5,05
Trecho 5= 18,30
Trecho 6= 40,05
Trecho 7= 32,25
Trecho 8= 33,64
Trecho 9= 45,74
Trecho 10= 34,85
Trecho 11= 29
Trecho 12= 80,91
Trecho 13= 38,80
Trecho 14= 33,10
Trecho 15= 18,32</t>
  </si>
  <si>
    <t>Área= 464,37m²
Espessura = 20cm
Volume = 0,2*464,37</t>
  </si>
  <si>
    <t>2.10</t>
  </si>
  <si>
    <t>FORNECIMENTO DE CONCRETO ESTRUTURAL, USINADO BOMBEADO, COM FCK 25MPA, INCLUSIVE LANÇAMENTO, ADENSAMENTO E ACABAMENTO</t>
  </si>
  <si>
    <t>5mm = 1329*1,85
6.3mm = 5*2,936
8mm = 250*4,735
10mm = (223-80)*7,398
12.5mm = 230*11,56
16mm = 153*18,94
20mm = 220*29,594</t>
  </si>
  <si>
    <t>Quant. Blocos 020= 2775un
Área = 0,2*0,4*2775
Armação 10mm</t>
  </si>
  <si>
    <t>m³ x Km</t>
  </si>
  <si>
    <t>TRANSPORTE DE MATERIAL DE QUALQUER NATUREZA EM CAMINHÃO, DISTÂNCIA MAIOR QUE 10KM E MENOR OU IGUAL A 20KM, DENTRO DO PERÍMETRO URBANO, EXCLUSIVE CARGA, INCLUSIVE DESCARGA</t>
  </si>
  <si>
    <t>ED-29233</t>
  </si>
  <si>
    <t>2.11</t>
  </si>
  <si>
    <t>Volume = 92,87 m³
Distância = 20Km</t>
  </si>
  <si>
    <t>POÇO DE VISITA PARA REDE TUBULAR TIPO A DN 500</t>
  </si>
  <si>
    <t xml:space="preserve">ED-48630 </t>
  </si>
  <si>
    <t>3.10</t>
  </si>
  <si>
    <t>Quant. Fornecido pela Prefeitura</t>
  </si>
  <si>
    <t>DEMOLIÇÃO MECANIZADA DE CONCRETO ARMADO, COM EQUIPAMENTO ELÉTRICO, INCLUSIVE AFASTAMENTO E EMPILHAMENTO, EXCLUSIVE TRANSPORTE E RETIRADA DO MATERIAL DEMOLIDO</t>
  </si>
  <si>
    <t xml:space="preserve">ED-48443 </t>
  </si>
  <si>
    <t>1.6</t>
  </si>
  <si>
    <t>Volume = 50,97 m³
Distância = 20Km</t>
  </si>
  <si>
    <t>Proj. Estrutural Antigo</t>
  </si>
  <si>
    <t>Extimado pela 
extensão entre os trechos 05 a 15=169,90m
Altura fornecida no projeto do muro antigo= 1,5m
Área da calçada = 333,47 m²
Volume= (169,9*1,5*0,2)+(333,47*0,1)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</si>
</sst>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quot;R$&quot;\ #,##0.00"/>
    <numFmt numFmtId="165" formatCode="_(* #,##0.00_);_(* \(#,##0.00\);_(* &quot;-&quot;??_);_(@_)"/>
  </numFmts>
  <fonts count="44" x14ac:knownFonts="1">
    <font>
      <sz val="11"/>
      <color theme="1"/>
      <name val="Calibri"/>
      <family val="2"/>
      <scheme val="minor"/>
    </font>
    <font>
      <b/>
      <sz val="11"/>
      <color theme="1"/>
      <name val="Calibri"/>
      <family val="2"/>
      <scheme val="minor"/>
    </font>
    <font>
      <b/>
      <sz val="12"/>
      <color theme="1"/>
      <name val="Calibri"/>
      <family val="2"/>
      <scheme val="minor"/>
    </font>
    <font>
      <b/>
      <sz val="12"/>
      <name val="Arial"/>
      <family val="2"/>
    </font>
    <font>
      <b/>
      <sz val="10"/>
      <name val="Arial"/>
      <family val="2"/>
    </font>
    <font>
      <b/>
      <sz val="9"/>
      <name val="Arial"/>
      <family val="2"/>
    </font>
    <font>
      <sz val="9"/>
      <color indexed="8"/>
      <name val="Arial"/>
      <family val="2"/>
    </font>
    <font>
      <sz val="10"/>
      <name val="Arial"/>
      <family val="2"/>
    </font>
    <font>
      <sz val="9"/>
      <color theme="1"/>
      <name val="Arial"/>
      <family val="2"/>
    </font>
    <font>
      <sz val="20"/>
      <name val="Arial"/>
      <family val="2"/>
    </font>
    <font>
      <sz val="14"/>
      <name val="Arial"/>
      <family val="2"/>
    </font>
    <font>
      <sz val="11"/>
      <color theme="1"/>
      <name val="Calibri"/>
      <family val="2"/>
      <scheme val="minor"/>
    </font>
    <font>
      <sz val="11"/>
      <color rgb="FFFF0000"/>
      <name val="Calibri"/>
      <family val="2"/>
      <scheme val="minor"/>
    </font>
    <font>
      <b/>
      <sz val="20"/>
      <color rgb="FF000000"/>
      <name val="Arial"/>
      <family val="2"/>
    </font>
    <font>
      <sz val="25"/>
      <color theme="1"/>
      <name val="Arial"/>
      <family val="2"/>
    </font>
    <font>
      <sz val="25"/>
      <color rgb="FF000000"/>
      <name val="Arial"/>
      <family val="2"/>
    </font>
    <font>
      <b/>
      <sz val="15"/>
      <color theme="1"/>
      <name val="Arial"/>
      <family val="2"/>
    </font>
    <font>
      <b/>
      <sz val="15"/>
      <color rgb="FF000000"/>
      <name val="Arial"/>
      <family val="2"/>
    </font>
    <font>
      <b/>
      <u/>
      <sz val="15"/>
      <color rgb="FF000000"/>
      <name val="Arial"/>
      <family val="2"/>
    </font>
    <font>
      <sz val="25"/>
      <color theme="1"/>
      <name val="Calibri"/>
      <family val="2"/>
      <scheme val="minor"/>
    </font>
    <font>
      <b/>
      <sz val="20"/>
      <color theme="1"/>
      <name val="Arial"/>
      <family val="2"/>
    </font>
    <font>
      <b/>
      <sz val="25"/>
      <color theme="1"/>
      <name val="Calibri"/>
      <family val="2"/>
      <scheme val="minor"/>
    </font>
    <font>
      <sz val="16"/>
      <color theme="1"/>
      <name val="Calibri"/>
      <family val="2"/>
      <scheme val="minor"/>
    </font>
    <font>
      <b/>
      <sz val="6"/>
      <color theme="1"/>
      <name val="Calibri"/>
      <family val="2"/>
      <scheme val="minor"/>
    </font>
    <font>
      <sz val="10"/>
      <color theme="1"/>
      <name val="Calibri"/>
      <family val="2"/>
      <scheme val="minor"/>
    </font>
    <font>
      <b/>
      <sz val="15"/>
      <name val="Arial"/>
      <family val="2"/>
    </font>
    <font>
      <sz val="8"/>
      <name val="Calibri"/>
      <family val="2"/>
      <scheme val="minor"/>
    </font>
    <font>
      <b/>
      <sz val="20"/>
      <name val="Arial"/>
      <family val="2"/>
    </font>
    <font>
      <u/>
      <sz val="11"/>
      <color theme="10"/>
      <name val="Calibri"/>
      <family val="2"/>
      <scheme val="minor"/>
    </font>
    <font>
      <sz val="20"/>
      <color theme="1"/>
      <name val="Arial"/>
      <family val="2"/>
    </font>
    <font>
      <sz val="9"/>
      <name val="Arial"/>
      <family val="2"/>
    </font>
    <font>
      <b/>
      <sz val="14"/>
      <name val="Arial"/>
      <family val="2"/>
    </font>
    <font>
      <b/>
      <sz val="8"/>
      <name val="Arial"/>
      <family val="2"/>
    </font>
    <font>
      <b/>
      <sz val="16"/>
      <name val="Arial"/>
      <family val="2"/>
    </font>
    <font>
      <sz val="11"/>
      <name val="Arial"/>
      <family val="2"/>
    </font>
    <font>
      <b/>
      <sz val="11"/>
      <name val="Arial"/>
      <family val="2"/>
    </font>
    <font>
      <b/>
      <sz val="12"/>
      <color theme="1"/>
      <name val="Arial"/>
      <family val="2"/>
    </font>
    <font>
      <b/>
      <sz val="12"/>
      <color rgb="FF000000"/>
      <name val="Arial"/>
      <family val="2"/>
    </font>
    <font>
      <b/>
      <u/>
      <sz val="12"/>
      <color rgb="FF000000"/>
      <name val="Arial"/>
      <family val="2"/>
    </font>
    <font>
      <sz val="12"/>
      <name val="Arial"/>
      <family val="2"/>
    </font>
    <font>
      <sz val="12"/>
      <color rgb="FF000000"/>
      <name val="Arial"/>
      <family val="2"/>
    </font>
    <font>
      <sz val="12"/>
      <color theme="1"/>
      <name val="Arial"/>
      <family val="2"/>
    </font>
    <font>
      <u/>
      <sz val="12"/>
      <color theme="10"/>
      <name val="Arial"/>
      <family val="2"/>
    </font>
    <font>
      <sz val="18"/>
      <color theme="1"/>
      <name val="Arial"/>
      <family val="2"/>
    </font>
  </fonts>
  <fills count="12">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indexed="43"/>
        <bgColor indexed="64"/>
      </patternFill>
    </fill>
    <fill>
      <patternFill patternType="solid">
        <fgColor indexed="22"/>
        <bgColor indexed="64"/>
      </patternFill>
    </fill>
    <fill>
      <patternFill patternType="solid">
        <fgColor rgb="FFFFFF99"/>
        <bgColor indexed="64"/>
      </patternFill>
    </fill>
    <fill>
      <patternFill patternType="solid">
        <fgColor rgb="FFFFFF00"/>
        <bgColor indexed="64"/>
      </patternFill>
    </fill>
    <fill>
      <patternFill patternType="solid">
        <fgColor theme="0" tint="-0.49998474074526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top style="medium">
        <color indexed="64"/>
      </top>
      <bottom/>
      <diagonal/>
    </border>
    <border>
      <left style="thin">
        <color indexed="64"/>
      </left>
      <right style="thin">
        <color indexed="64"/>
      </right>
      <top style="hair">
        <color indexed="64"/>
      </top>
      <bottom/>
      <diagonal/>
    </border>
    <border>
      <left style="thin">
        <color indexed="64"/>
      </left>
      <right/>
      <top style="hair">
        <color indexed="64"/>
      </top>
      <bottom style="medium">
        <color indexed="64"/>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s>
  <cellStyleXfs count="5">
    <xf numFmtId="0" fontId="0" fillId="0" borderId="0"/>
    <xf numFmtId="44" fontId="11" fillId="0" borderId="0" applyFont="0" applyFill="0" applyBorder="0" applyAlignment="0" applyProtection="0"/>
    <xf numFmtId="0" fontId="28" fillId="0" borderId="0" applyNumberFormat="0" applyFill="0" applyBorder="0" applyAlignment="0" applyProtection="0"/>
    <xf numFmtId="9" fontId="11" fillId="0" borderId="0" applyFont="0" applyFill="0" applyBorder="0" applyAlignment="0" applyProtection="0"/>
    <xf numFmtId="43" fontId="11" fillId="0" borderId="0" applyFont="0" applyFill="0" applyBorder="0" applyAlignment="0" applyProtection="0"/>
  </cellStyleXfs>
  <cellXfs count="387">
    <xf numFmtId="0" fontId="0" fillId="0" borderId="0" xfId="0"/>
    <xf numFmtId="10" fontId="7" fillId="3" borderId="50" xfId="0" applyNumberFormat="1" applyFont="1" applyFill="1" applyBorder="1" applyAlignment="1">
      <alignment horizontal="center" vertical="center" wrapText="1"/>
    </xf>
    <xf numFmtId="0" fontId="4" fillId="3" borderId="13" xfId="0" applyFont="1" applyFill="1" applyBorder="1" applyAlignment="1">
      <alignment horizontal="center" vertical="center"/>
    </xf>
    <xf numFmtId="0" fontId="13" fillId="2" borderId="12" xfId="0" applyFont="1" applyFill="1" applyBorder="1" applyAlignment="1">
      <alignment horizontal="center" vertical="center" wrapText="1"/>
    </xf>
    <xf numFmtId="0" fontId="12" fillId="0" borderId="0" xfId="0" applyFont="1"/>
    <xf numFmtId="0" fontId="4" fillId="3" borderId="46" xfId="0" applyFont="1" applyFill="1" applyBorder="1" applyAlignment="1">
      <alignment horizontal="center" vertical="center" wrapText="1"/>
    </xf>
    <xf numFmtId="0" fontId="4" fillId="3" borderId="46" xfId="0" applyFont="1" applyFill="1" applyBorder="1" applyAlignment="1">
      <alignment horizontal="center" vertical="center"/>
    </xf>
    <xf numFmtId="0" fontId="4" fillId="3" borderId="47" xfId="0" applyFont="1" applyFill="1" applyBorder="1" applyAlignment="1">
      <alignment horizontal="center" vertical="center" wrapText="1"/>
    </xf>
    <xf numFmtId="0" fontId="0" fillId="0" borderId="0" xfId="0" applyAlignment="1">
      <alignment horizontal="center"/>
    </xf>
    <xf numFmtId="10" fontId="15" fillId="0" borderId="22" xfId="0" applyNumberFormat="1" applyFont="1" applyBorder="1" applyAlignment="1">
      <alignment horizontal="center" vertical="center" wrapText="1"/>
    </xf>
    <xf numFmtId="0" fontId="4" fillId="3" borderId="12" xfId="0" applyFont="1" applyFill="1" applyBorder="1" applyAlignment="1">
      <alignment horizontal="center" vertical="center"/>
    </xf>
    <xf numFmtId="0" fontId="5" fillId="3" borderId="21" xfId="0" applyFont="1" applyFill="1" applyBorder="1" applyAlignment="1">
      <alignment horizontal="center" vertical="center"/>
    </xf>
    <xf numFmtId="0" fontId="5" fillId="3" borderId="68" xfId="0" applyFont="1" applyFill="1" applyBorder="1" applyAlignment="1">
      <alignment horizontal="center" vertical="center"/>
    </xf>
    <xf numFmtId="0" fontId="9" fillId="0" borderId="24" xfId="0" applyFont="1" applyBorder="1" applyAlignment="1">
      <alignment horizontal="center" vertical="center" wrapText="1"/>
    </xf>
    <xf numFmtId="0" fontId="9" fillId="0" borderId="5"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5"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1" xfId="0" applyFont="1" applyBorder="1" applyAlignment="1">
      <alignment horizontal="center" vertical="center" wrapText="1"/>
    </xf>
    <xf numFmtId="10" fontId="7" fillId="3" borderId="50" xfId="3" applyNumberFormat="1" applyFont="1" applyFill="1" applyBorder="1" applyAlignment="1">
      <alignment horizontal="center" vertical="center" wrapText="1"/>
    </xf>
    <xf numFmtId="0" fontId="0" fillId="0" borderId="0" xfId="0" applyAlignment="1">
      <alignment horizontal="center" vertical="center"/>
    </xf>
    <xf numFmtId="0" fontId="24" fillId="0" borderId="19" xfId="0" applyFont="1" applyBorder="1" applyAlignment="1">
      <alignment vertical="center"/>
    </xf>
    <xf numFmtId="0" fontId="24" fillId="0" borderId="21" xfId="0" applyFont="1" applyBorder="1" applyAlignment="1">
      <alignment vertical="center"/>
    </xf>
    <xf numFmtId="0" fontId="24" fillId="0" borderId="42" xfId="0" applyFont="1" applyBorder="1" applyAlignment="1">
      <alignment vertical="center"/>
    </xf>
    <xf numFmtId="10" fontId="30" fillId="5" borderId="50" xfId="0" applyNumberFormat="1" applyFont="1" applyFill="1" applyBorder="1" applyAlignment="1">
      <alignment horizontal="right" vertical="center"/>
    </xf>
    <xf numFmtId="10" fontId="30" fillId="5" borderId="58" xfId="0" applyNumberFormat="1" applyFont="1" applyFill="1" applyBorder="1" applyAlignment="1">
      <alignment horizontal="right" vertical="center"/>
    </xf>
    <xf numFmtId="0" fontId="0" fillId="0" borderId="0" xfId="0" applyAlignment="1">
      <alignment vertical="center"/>
    </xf>
    <xf numFmtId="49" fontId="6" fillId="3" borderId="63" xfId="0" applyNumberFormat="1" applyFont="1" applyFill="1" applyBorder="1" applyAlignment="1">
      <alignment horizontal="center" vertical="center" wrapText="1"/>
    </xf>
    <xf numFmtId="49" fontId="6" fillId="3" borderId="64" xfId="0" applyNumberFormat="1" applyFont="1" applyFill="1" applyBorder="1" applyAlignment="1">
      <alignment horizontal="center" vertical="center" wrapText="1"/>
    </xf>
    <xf numFmtId="164" fontId="8" fillId="3" borderId="56" xfId="0" applyNumberFormat="1" applyFont="1" applyFill="1" applyBorder="1" applyAlignment="1">
      <alignment horizontal="center" vertical="center" wrapText="1"/>
    </xf>
    <xf numFmtId="164" fontId="6" fillId="5" borderId="56" xfId="0" applyNumberFormat="1" applyFont="1" applyFill="1" applyBorder="1" applyAlignment="1">
      <alignment vertical="center" wrapText="1"/>
    </xf>
    <xf numFmtId="164" fontId="6" fillId="5" borderId="60" xfId="0" applyNumberFormat="1" applyFont="1" applyFill="1" applyBorder="1" applyAlignment="1">
      <alignment vertical="center" wrapText="1"/>
    </xf>
    <xf numFmtId="49" fontId="6" fillId="3" borderId="65" xfId="0" applyNumberFormat="1" applyFont="1" applyFill="1" applyBorder="1" applyAlignment="1">
      <alignment horizontal="center" vertical="center" wrapText="1"/>
    </xf>
    <xf numFmtId="10" fontId="6" fillId="5" borderId="57" xfId="0" applyNumberFormat="1" applyFont="1" applyFill="1" applyBorder="1" applyAlignment="1">
      <alignment vertical="center" wrapText="1"/>
    </xf>
    <xf numFmtId="49" fontId="6" fillId="3" borderId="66" xfId="0" applyNumberFormat="1" applyFont="1" applyFill="1" applyBorder="1" applyAlignment="1">
      <alignment horizontal="center" vertical="center" wrapText="1"/>
    </xf>
    <xf numFmtId="164" fontId="8" fillId="3" borderId="59" xfId="0" applyNumberFormat="1" applyFont="1" applyFill="1" applyBorder="1" applyAlignment="1">
      <alignment horizontal="center" vertical="center" wrapText="1"/>
    </xf>
    <xf numFmtId="164" fontId="6" fillId="5" borderId="59" xfId="0" applyNumberFormat="1" applyFont="1" applyFill="1" applyBorder="1" applyAlignment="1">
      <alignment vertical="center" wrapText="1"/>
    </xf>
    <xf numFmtId="164" fontId="6" fillId="5" borderId="61" xfId="0" applyNumberFormat="1" applyFont="1" applyFill="1" applyBorder="1" applyAlignment="1">
      <alignment vertical="center" wrapText="1"/>
    </xf>
    <xf numFmtId="10" fontId="6" fillId="5" borderId="55" xfId="0" applyNumberFormat="1" applyFont="1" applyFill="1" applyBorder="1" applyAlignment="1">
      <alignment vertical="center" wrapText="1"/>
    </xf>
    <xf numFmtId="10" fontId="6" fillId="5" borderId="62" xfId="0" applyNumberFormat="1" applyFont="1" applyFill="1" applyBorder="1" applyAlignment="1">
      <alignment vertical="center" wrapText="1"/>
    </xf>
    <xf numFmtId="164" fontId="6" fillId="3" borderId="59" xfId="0" applyNumberFormat="1" applyFont="1" applyFill="1" applyBorder="1" applyAlignment="1">
      <alignment vertical="center" wrapText="1"/>
    </xf>
    <xf numFmtId="164" fontId="6" fillId="3" borderId="61" xfId="0" applyNumberFormat="1" applyFont="1" applyFill="1" applyBorder="1" applyAlignment="1">
      <alignment vertical="center" wrapText="1"/>
    </xf>
    <xf numFmtId="164" fontId="6" fillId="3" borderId="56" xfId="0" applyNumberFormat="1" applyFont="1" applyFill="1" applyBorder="1" applyAlignment="1">
      <alignment vertical="center" wrapText="1"/>
    </xf>
    <xf numFmtId="10" fontId="6" fillId="5" borderId="5" xfId="0" applyNumberFormat="1" applyFont="1" applyFill="1" applyBorder="1" applyAlignment="1">
      <alignment vertical="center" wrapText="1"/>
    </xf>
    <xf numFmtId="164" fontId="6" fillId="5" borderId="69" xfId="0" applyNumberFormat="1" applyFont="1" applyFill="1" applyBorder="1" applyAlignment="1">
      <alignment vertical="center" wrapText="1"/>
    </xf>
    <xf numFmtId="0" fontId="23" fillId="0" borderId="0" xfId="0" applyFont="1" applyAlignment="1">
      <alignment vertical="center" wrapText="1"/>
    </xf>
    <xf numFmtId="0" fontId="10" fillId="3" borderId="0" xfId="0" applyFont="1" applyFill="1" applyAlignment="1">
      <alignment horizontal="center" vertical="center"/>
    </xf>
    <xf numFmtId="0" fontId="0" fillId="0" borderId="21" xfId="0" applyBorder="1"/>
    <xf numFmtId="0" fontId="0" fillId="0" borderId="45" xfId="0" applyBorder="1"/>
    <xf numFmtId="0" fontId="0" fillId="0" borderId="42" xfId="0" applyBorder="1"/>
    <xf numFmtId="0" fontId="4" fillId="0" borderId="18" xfId="0" applyFont="1" applyBorder="1" applyAlignment="1">
      <alignment vertical="center"/>
    </xf>
    <xf numFmtId="0" fontId="31" fillId="0" borderId="0" xfId="0" applyFont="1" applyAlignment="1">
      <alignment vertical="center"/>
    </xf>
    <xf numFmtId="0" fontId="32" fillId="0" borderId="0" xfId="0" applyFont="1" applyAlignment="1">
      <alignment vertical="center"/>
    </xf>
    <xf numFmtId="0" fontId="32" fillId="0" borderId="0" xfId="0" applyFont="1" applyAlignment="1">
      <alignment vertical="center" wrapText="1"/>
    </xf>
    <xf numFmtId="0" fontId="32" fillId="0" borderId="1" xfId="0" applyFont="1" applyBorder="1" applyAlignment="1">
      <alignment vertical="center"/>
    </xf>
    <xf numFmtId="43" fontId="32" fillId="0" borderId="1" xfId="4" applyFont="1" applyBorder="1" applyAlignment="1">
      <alignment horizontal="right" vertical="center"/>
    </xf>
    <xf numFmtId="10" fontId="32" fillId="0" borderId="1" xfId="3" applyNumberFormat="1" applyFont="1" applyBorder="1" applyAlignment="1">
      <alignment horizontal="left" vertical="center"/>
    </xf>
    <xf numFmtId="0" fontId="32" fillId="0" borderId="22" xfId="0" applyFont="1" applyBorder="1" applyAlignment="1">
      <alignment vertical="center"/>
    </xf>
    <xf numFmtId="43" fontId="32" fillId="0" borderId="0" xfId="4" applyFont="1" applyBorder="1" applyAlignment="1">
      <alignment horizontal="right" vertical="center"/>
    </xf>
    <xf numFmtId="9" fontId="32" fillId="0" borderId="0" xfId="3" applyFont="1" applyBorder="1" applyAlignment="1">
      <alignment horizontal="left" vertical="center"/>
    </xf>
    <xf numFmtId="10" fontId="4" fillId="7" borderId="1" xfId="0" applyNumberFormat="1" applyFont="1" applyFill="1" applyBorder="1" applyAlignment="1">
      <alignment horizontal="center"/>
    </xf>
    <xf numFmtId="10" fontId="4" fillId="0" borderId="22" xfId="3" applyNumberFormat="1" applyFont="1" applyFill="1" applyBorder="1" applyAlignment="1"/>
    <xf numFmtId="10" fontId="0" fillId="0" borderId="1" xfId="0" applyNumberFormat="1" applyBorder="1" applyAlignment="1">
      <alignment horizontal="center"/>
    </xf>
    <xf numFmtId="0" fontId="0" fillId="0" borderId="1" xfId="0" applyBorder="1" applyAlignment="1">
      <alignment horizontal="center" vertical="center" wrapText="1"/>
    </xf>
    <xf numFmtId="0" fontId="5" fillId="8" borderId="26" xfId="0" applyFont="1" applyFill="1" applyBorder="1" applyAlignment="1">
      <alignment vertical="center" textRotation="90"/>
    </xf>
    <xf numFmtId="0" fontId="32" fillId="8" borderId="1" xfId="0" applyFont="1" applyFill="1" applyBorder="1" applyAlignment="1">
      <alignment vertical="center"/>
    </xf>
    <xf numFmtId="0" fontId="32" fillId="8" borderId="5" xfId="0" applyFont="1" applyFill="1" applyBorder="1" applyAlignment="1">
      <alignment vertical="center"/>
    </xf>
    <xf numFmtId="0" fontId="5" fillId="8" borderId="5" xfId="0" applyFont="1" applyFill="1" applyBorder="1" applyAlignment="1">
      <alignment vertical="center"/>
    </xf>
    <xf numFmtId="0" fontId="5" fillId="8" borderId="1" xfId="0" applyFont="1" applyFill="1" applyBorder="1" applyAlignment="1">
      <alignment horizontal="center" vertical="center"/>
    </xf>
    <xf numFmtId="0" fontId="5" fillId="8" borderId="26" xfId="0" applyFont="1" applyFill="1" applyBorder="1" applyAlignment="1">
      <alignment horizontal="center" vertical="center"/>
    </xf>
    <xf numFmtId="0" fontId="32" fillId="8" borderId="1" xfId="0" applyFont="1" applyFill="1" applyBorder="1" applyAlignment="1">
      <alignment horizontal="center" vertical="center"/>
    </xf>
    <xf numFmtId="0" fontId="4" fillId="0" borderId="26" xfId="0" applyFont="1" applyBorder="1" applyAlignment="1">
      <alignment horizontal="center" vertical="center" wrapText="1"/>
    </xf>
    <xf numFmtId="0" fontId="7" fillId="0" borderId="1" xfId="0" applyFont="1" applyBorder="1" applyAlignment="1" applyProtection="1">
      <alignment horizontal="center" vertical="center" wrapText="1"/>
      <protection locked="0"/>
    </xf>
    <xf numFmtId="165" fontId="0" fillId="0" borderId="1" xfId="0" applyNumberFormat="1" applyBorder="1" applyAlignment="1">
      <alignment vertical="center" wrapText="1"/>
    </xf>
    <xf numFmtId="4" fontId="4" fillId="9" borderId="1" xfId="0" applyNumberFormat="1" applyFont="1" applyFill="1" applyBorder="1" applyAlignment="1">
      <alignment horizontal="right"/>
    </xf>
    <xf numFmtId="0" fontId="0" fillId="0" borderId="20" xfId="0" applyBorder="1"/>
    <xf numFmtId="0" fontId="30" fillId="0" borderId="0" xfId="0" applyFont="1" applyAlignment="1">
      <alignment vertical="center"/>
    </xf>
    <xf numFmtId="0" fontId="34" fillId="0" borderId="0" xfId="0" applyFont="1" applyAlignment="1">
      <alignment vertical="center"/>
    </xf>
    <xf numFmtId="0" fontId="35" fillId="0" borderId="0" xfId="0" applyFont="1" applyAlignment="1">
      <alignment vertical="center"/>
    </xf>
    <xf numFmtId="0" fontId="35" fillId="0" borderId="0" xfId="0" applyFont="1" applyAlignment="1">
      <alignment vertical="top"/>
    </xf>
    <xf numFmtId="0" fontId="0" fillId="0" borderId="33" xfId="0" applyBorder="1"/>
    <xf numFmtId="164" fontId="4" fillId="9" borderId="1" xfId="0" applyNumberFormat="1" applyFont="1" applyFill="1" applyBorder="1" applyAlignment="1">
      <alignment horizontal="right"/>
    </xf>
    <xf numFmtId="164" fontId="4" fillId="9" borderId="22" xfId="0" applyNumberFormat="1" applyFont="1" applyFill="1" applyBorder="1" applyAlignment="1">
      <alignment horizontal="right"/>
    </xf>
    <xf numFmtId="164" fontId="0" fillId="0" borderId="1" xfId="1" applyNumberFormat="1" applyFont="1" applyFill="1" applyBorder="1" applyAlignment="1">
      <alignment vertical="center" wrapText="1"/>
    </xf>
    <xf numFmtId="164" fontId="0" fillId="0" borderId="1" xfId="1" applyNumberFormat="1" applyFont="1" applyBorder="1" applyAlignment="1">
      <alignment horizontal="right" vertical="center"/>
    </xf>
    <xf numFmtId="164" fontId="4" fillId="0" borderId="22" xfId="1" applyNumberFormat="1" applyFont="1" applyBorder="1" applyAlignment="1">
      <alignment horizontal="right" vertical="center"/>
    </xf>
    <xf numFmtId="0" fontId="2" fillId="0" borderId="33" xfId="0" applyFont="1" applyBorder="1" applyAlignment="1">
      <alignment horizontal="left" vertical="center" wrapText="1"/>
    </xf>
    <xf numFmtId="0" fontId="2" fillId="0" borderId="42" xfId="0" applyFont="1" applyBorder="1" applyAlignment="1">
      <alignment horizontal="left" vertical="center" wrapText="1"/>
    </xf>
    <xf numFmtId="164" fontId="0" fillId="0" borderId="0" xfId="0" applyNumberFormat="1" applyAlignment="1">
      <alignment vertical="center"/>
    </xf>
    <xf numFmtId="164" fontId="24" fillId="0" borderId="21" xfId="0" applyNumberFormat="1" applyFont="1" applyBorder="1" applyAlignment="1">
      <alignment vertical="center"/>
    </xf>
    <xf numFmtId="0" fontId="9" fillId="0" borderId="5" xfId="0" applyFont="1" applyBorder="1" applyAlignment="1">
      <alignment horizontal="left" vertical="center" wrapText="1"/>
    </xf>
    <xf numFmtId="0" fontId="9" fillId="0" borderId="1" xfId="0" applyFont="1" applyBorder="1" applyAlignment="1">
      <alignment horizontal="left" vertical="center" wrapText="1"/>
    </xf>
    <xf numFmtId="2" fontId="9" fillId="0" borderId="37" xfId="0" applyNumberFormat="1" applyFont="1" applyBorder="1" applyAlignment="1">
      <alignment horizontal="center" vertical="center" wrapText="1"/>
    </xf>
    <xf numFmtId="2" fontId="9" fillId="0" borderId="22" xfId="0" applyNumberFormat="1" applyFont="1" applyBorder="1" applyAlignment="1">
      <alignment horizontal="center" vertical="center" wrapText="1"/>
    </xf>
    <xf numFmtId="2" fontId="9" fillId="0" borderId="25" xfId="0" applyNumberFormat="1" applyFont="1" applyBorder="1" applyAlignment="1">
      <alignment horizontal="center" vertical="center" wrapText="1"/>
    </xf>
    <xf numFmtId="4" fontId="32" fillId="0" borderId="1" xfId="0" applyNumberFormat="1" applyFont="1" applyBorder="1" applyAlignment="1">
      <alignment horizontal="justify" vertical="center" wrapText="1"/>
    </xf>
    <xf numFmtId="164" fontId="8" fillId="3" borderId="16" xfId="0" applyNumberFormat="1" applyFont="1" applyFill="1" applyBorder="1" applyAlignment="1">
      <alignment horizontal="center" vertical="center" wrapText="1"/>
    </xf>
    <xf numFmtId="10" fontId="37" fillId="0" borderId="22" xfId="0" applyNumberFormat="1" applyFont="1" applyBorder="1" applyAlignment="1">
      <alignment horizontal="center" vertical="center" wrapText="1"/>
    </xf>
    <xf numFmtId="0" fontId="3" fillId="11" borderId="16" xfId="0" applyFont="1" applyFill="1" applyBorder="1" applyAlignment="1">
      <alignment horizontal="center" vertical="center" wrapText="1"/>
    </xf>
    <xf numFmtId="164" fontId="3" fillId="11" borderId="46" xfId="0" applyNumberFormat="1" applyFont="1" applyFill="1" applyBorder="1" applyAlignment="1">
      <alignment vertical="center" wrapText="1"/>
    </xf>
    <xf numFmtId="0" fontId="3" fillId="11" borderId="46" xfId="0" applyFont="1" applyFill="1" applyBorder="1" applyAlignment="1">
      <alignment vertical="center" wrapText="1"/>
    </xf>
    <xf numFmtId="164" fontId="3" fillId="11" borderId="34" xfId="0" applyNumberFormat="1" applyFont="1" applyFill="1" applyBorder="1" applyAlignment="1">
      <alignment vertical="center" wrapText="1"/>
    </xf>
    <xf numFmtId="0" fontId="39" fillId="0" borderId="24" xfId="0" applyFont="1" applyBorder="1" applyAlignment="1">
      <alignment horizontal="center" vertical="center" wrapText="1"/>
    </xf>
    <xf numFmtId="0" fontId="39"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9" fillId="5" borderId="5" xfId="0" applyFont="1" applyFill="1" applyBorder="1" applyAlignment="1">
      <alignment horizontal="justify" vertical="center" wrapText="1"/>
    </xf>
    <xf numFmtId="2" fontId="39" fillId="0" borderId="5" xfId="0" applyNumberFormat="1" applyFont="1" applyBorder="1" applyAlignment="1">
      <alignment horizontal="center" vertical="center" wrapText="1"/>
    </xf>
    <xf numFmtId="164" fontId="39" fillId="0" borderId="5" xfId="1" applyNumberFormat="1" applyFont="1" applyBorder="1" applyAlignment="1">
      <alignment horizontal="right" vertical="center" wrapText="1"/>
    </xf>
    <xf numFmtId="164" fontId="39" fillId="0" borderId="5" xfId="0" applyNumberFormat="1" applyFont="1" applyBorder="1" applyAlignment="1">
      <alignment horizontal="right" vertical="center" wrapText="1"/>
    </xf>
    <xf numFmtId="0" fontId="39" fillId="0" borderId="26" xfId="0" applyFont="1" applyBorder="1" applyAlignment="1">
      <alignment horizontal="center" vertical="center" wrapText="1"/>
    </xf>
    <xf numFmtId="0" fontId="39"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9" fillId="5" borderId="1" xfId="0" applyFont="1" applyFill="1" applyBorder="1" applyAlignment="1">
      <alignment horizontal="justify" vertical="center" wrapText="1"/>
    </xf>
    <xf numFmtId="2" fontId="39" fillId="0" borderId="1" xfId="0" applyNumberFormat="1" applyFont="1" applyBorder="1" applyAlignment="1">
      <alignment horizontal="center" vertical="center" wrapText="1"/>
    </xf>
    <xf numFmtId="164" fontId="39" fillId="0" borderId="1" xfId="1" applyNumberFormat="1" applyFont="1" applyBorder="1" applyAlignment="1">
      <alignment horizontal="right" vertical="center" wrapText="1"/>
    </xf>
    <xf numFmtId="164" fontId="39" fillId="0" borderId="1" xfId="0" applyNumberFormat="1" applyFont="1" applyBorder="1" applyAlignment="1">
      <alignment horizontal="right" vertical="center" wrapText="1"/>
    </xf>
    <xf numFmtId="0" fontId="39" fillId="0" borderId="5" xfId="0" applyFont="1" applyBorder="1" applyAlignment="1">
      <alignment vertical="center" wrapText="1"/>
    </xf>
    <xf numFmtId="164" fontId="39" fillId="0" borderId="5" xfId="1" applyNumberFormat="1" applyFont="1" applyFill="1" applyBorder="1" applyAlignment="1">
      <alignment horizontal="right" vertical="center" wrapText="1"/>
    </xf>
    <xf numFmtId="0" fontId="39" fillId="0" borderId="1" xfId="0" applyFont="1" applyBorder="1" applyAlignment="1">
      <alignment vertical="center" wrapText="1"/>
    </xf>
    <xf numFmtId="164" fontId="39" fillId="0" borderId="1" xfId="1" applyNumberFormat="1" applyFont="1" applyFill="1" applyBorder="1" applyAlignment="1">
      <alignment horizontal="right" vertical="center" wrapText="1"/>
    </xf>
    <xf numFmtId="0" fontId="39" fillId="0" borderId="1" xfId="0" applyFont="1" applyBorder="1" applyAlignment="1">
      <alignment horizontal="justify" vertical="center" wrapText="1"/>
    </xf>
    <xf numFmtId="0" fontId="39" fillId="0" borderId="27" xfId="0" applyFont="1" applyBorder="1" applyAlignment="1">
      <alignment horizontal="center" vertical="center" wrapText="1"/>
    </xf>
    <xf numFmtId="0" fontId="39" fillId="0" borderId="67" xfId="0" applyFont="1" applyBorder="1" applyAlignment="1">
      <alignment horizontal="center" vertical="center" wrapText="1"/>
    </xf>
    <xf numFmtId="0" fontId="39" fillId="0" borderId="67" xfId="0" applyFont="1" applyBorder="1" applyAlignment="1">
      <alignment horizontal="justify" vertical="center" wrapText="1"/>
    </xf>
    <xf numFmtId="164" fontId="3" fillId="11" borderId="46" xfId="0" applyNumberFormat="1" applyFont="1" applyFill="1" applyBorder="1" applyAlignment="1">
      <alignment horizontal="center" vertical="center" wrapText="1"/>
    </xf>
    <xf numFmtId="0" fontId="39" fillId="0" borderId="35" xfId="0" applyFont="1" applyBorder="1" applyAlignment="1">
      <alignment horizontal="center" vertical="center" wrapText="1"/>
    </xf>
    <xf numFmtId="0" fontId="39" fillId="0" borderId="36" xfId="0" applyFont="1" applyBorder="1" applyAlignment="1">
      <alignment horizontal="center" vertical="center" wrapText="1"/>
    </xf>
    <xf numFmtId="0" fontId="3" fillId="0" borderId="36" xfId="0" applyFont="1" applyBorder="1" applyAlignment="1">
      <alignment horizontal="center" vertical="center" wrapText="1"/>
    </xf>
    <xf numFmtId="0" fontId="39" fillId="0" borderId="36" xfId="0" applyFont="1" applyBorder="1" applyAlignment="1">
      <alignment vertical="center" wrapText="1"/>
    </xf>
    <xf numFmtId="0" fontId="39" fillId="0" borderId="28" xfId="0" applyFont="1" applyBorder="1" applyAlignment="1">
      <alignment horizontal="center" vertical="center" wrapText="1"/>
    </xf>
    <xf numFmtId="0" fontId="39" fillId="0" borderId="69" xfId="0" applyFont="1" applyBorder="1" applyAlignment="1">
      <alignment horizontal="center" vertical="center" wrapText="1"/>
    </xf>
    <xf numFmtId="0" fontId="3" fillId="0" borderId="69" xfId="0" applyFont="1" applyBorder="1" applyAlignment="1">
      <alignment horizontal="center" vertical="center" wrapText="1"/>
    </xf>
    <xf numFmtId="0" fontId="39" fillId="0" borderId="69" xfId="0" applyFont="1" applyBorder="1" applyAlignment="1">
      <alignment vertical="center" wrapText="1"/>
    </xf>
    <xf numFmtId="0" fontId="36" fillId="0" borderId="69" xfId="0" applyFont="1" applyBorder="1" applyAlignment="1">
      <alignment horizontal="center" vertical="center" wrapText="1"/>
    </xf>
    <xf numFmtId="0" fontId="39" fillId="5" borderId="69" xfId="0" applyFont="1" applyFill="1" applyBorder="1" applyAlignment="1">
      <alignment horizontal="justify" vertical="center" wrapText="1"/>
    </xf>
    <xf numFmtId="0" fontId="40" fillId="0" borderId="69" xfId="0" applyFont="1" applyBorder="1" applyAlignment="1">
      <alignment horizontal="center" vertical="center" wrapText="1"/>
    </xf>
    <xf numFmtId="2" fontId="39" fillId="0" borderId="69" xfId="0" applyNumberFormat="1" applyFont="1" applyBorder="1" applyAlignment="1">
      <alignment horizontal="center" vertical="center" wrapText="1"/>
    </xf>
    <xf numFmtId="44" fontId="40" fillId="0" borderId="69" xfId="1" applyFont="1" applyBorder="1" applyAlignment="1">
      <alignment horizontal="right" vertical="center" wrapText="1"/>
    </xf>
    <xf numFmtId="0" fontId="41" fillId="0" borderId="0" xfId="0" applyFont="1" applyAlignment="1">
      <alignment wrapText="1"/>
    </xf>
    <xf numFmtId="0" fontId="36" fillId="0" borderId="27" xfId="0" applyFont="1" applyBorder="1" applyAlignment="1">
      <alignment horizontal="center" wrapText="1"/>
    </xf>
    <xf numFmtId="0" fontId="36" fillId="0" borderId="23" xfId="0" applyFont="1" applyBorder="1" applyAlignment="1">
      <alignment horizontal="center" wrapText="1"/>
    </xf>
    <xf numFmtId="0" fontId="39" fillId="0" borderId="0" xfId="0" applyFont="1" applyAlignment="1">
      <alignment wrapText="1"/>
    </xf>
    <xf numFmtId="164" fontId="39" fillId="0" borderId="25" xfId="0" applyNumberFormat="1" applyFont="1" applyBorder="1" applyAlignment="1">
      <alignment horizontal="right" vertical="center" wrapText="1"/>
    </xf>
    <xf numFmtId="164" fontId="39" fillId="0" borderId="22" xfId="0" applyNumberFormat="1" applyFont="1" applyBorder="1" applyAlignment="1">
      <alignment horizontal="right" vertical="center" wrapText="1"/>
    </xf>
    <xf numFmtId="0" fontId="39" fillId="11" borderId="0" xfId="0" applyFont="1" applyFill="1" applyAlignment="1">
      <alignment wrapText="1"/>
    </xf>
    <xf numFmtId="0" fontId="39" fillId="10" borderId="0" xfId="0" applyFont="1" applyFill="1" applyAlignment="1">
      <alignment wrapText="1"/>
    </xf>
    <xf numFmtId="164" fontId="39" fillId="0" borderId="67" xfId="0" applyNumberFormat="1" applyFont="1" applyBorder="1" applyAlignment="1">
      <alignment horizontal="right" vertical="center" wrapText="1"/>
    </xf>
    <xf numFmtId="164" fontId="39" fillId="0" borderId="23" xfId="0" applyNumberFormat="1" applyFont="1" applyBorder="1" applyAlignment="1">
      <alignment horizontal="right" vertical="center" wrapText="1"/>
    </xf>
    <xf numFmtId="164" fontId="39" fillId="0" borderId="36" xfId="0" applyNumberFormat="1" applyFont="1" applyBorder="1" applyAlignment="1">
      <alignment horizontal="right" vertical="center" wrapText="1"/>
    </xf>
    <xf numFmtId="164" fontId="39" fillId="0" borderId="37" xfId="0" applyNumberFormat="1" applyFont="1" applyBorder="1" applyAlignment="1">
      <alignment horizontal="right" vertical="center" wrapText="1"/>
    </xf>
    <xf numFmtId="164" fontId="39" fillId="0" borderId="69" xfId="0" applyNumberFormat="1" applyFont="1" applyBorder="1" applyAlignment="1">
      <alignment horizontal="right" vertical="center" wrapText="1"/>
    </xf>
    <xf numFmtId="164" fontId="39" fillId="0" borderId="29" xfId="0" applyNumberFormat="1" applyFont="1" applyBorder="1" applyAlignment="1">
      <alignment horizontal="right" vertical="center" wrapText="1"/>
    </xf>
    <xf numFmtId="164" fontId="41" fillId="0" borderId="69" xfId="0" applyNumberFormat="1" applyFont="1" applyBorder="1" applyAlignment="1">
      <alignment horizontal="right" vertical="center" wrapText="1"/>
    </xf>
    <xf numFmtId="164" fontId="41" fillId="0" borderId="29" xfId="0" applyNumberFormat="1" applyFont="1" applyBorder="1" applyAlignment="1">
      <alignment horizontal="right" vertical="center" wrapText="1"/>
    </xf>
    <xf numFmtId="164" fontId="36" fillId="0" borderId="34" xfId="0" applyNumberFormat="1" applyFont="1" applyBorder="1" applyAlignment="1">
      <alignment horizontal="center" vertical="center" wrapText="1"/>
    </xf>
    <xf numFmtId="0" fontId="36" fillId="0" borderId="46" xfId="0" applyFont="1" applyBorder="1" applyAlignment="1">
      <alignment vertical="center" wrapText="1"/>
    </xf>
    <xf numFmtId="0" fontId="41" fillId="0" borderId="18" xfId="0" applyFont="1" applyBorder="1" applyAlignment="1">
      <alignment vertical="center" wrapText="1"/>
    </xf>
    <xf numFmtId="0" fontId="41" fillId="0" borderId="0" xfId="0" applyFont="1" applyAlignment="1">
      <alignment vertical="center" wrapText="1"/>
    </xf>
    <xf numFmtId="0" fontId="41" fillId="0" borderId="33" xfId="0" applyFont="1" applyBorder="1" applyAlignment="1">
      <alignment vertical="center" wrapText="1"/>
    </xf>
    <xf numFmtId="0" fontId="41" fillId="0" borderId="20" xfId="0" applyFont="1" applyBorder="1" applyAlignment="1">
      <alignment wrapText="1"/>
    </xf>
    <xf numFmtId="0" fontId="42" fillId="0" borderId="0" xfId="2" applyFont="1" applyAlignment="1">
      <alignment wrapText="1"/>
    </xf>
    <xf numFmtId="0" fontId="3" fillId="11" borderId="13" xfId="0" applyFont="1" applyFill="1" applyBorder="1" applyAlignment="1">
      <alignment horizontal="left" vertical="center" wrapText="1"/>
    </xf>
    <xf numFmtId="0" fontId="3" fillId="11" borderId="14" xfId="0" applyFont="1" applyFill="1" applyBorder="1" applyAlignment="1">
      <alignment horizontal="left" vertical="center" wrapText="1"/>
    </xf>
    <xf numFmtId="0" fontId="3" fillId="11" borderId="47" xfId="0" applyFont="1" applyFill="1" applyBorder="1" applyAlignment="1">
      <alignment horizontal="left" vertical="center" wrapText="1"/>
    </xf>
    <xf numFmtId="4" fontId="36" fillId="0" borderId="3" xfId="0" applyNumberFormat="1" applyFont="1" applyBorder="1" applyAlignment="1">
      <alignment horizontal="left" vertical="center" wrapText="1"/>
    </xf>
    <xf numFmtId="4" fontId="36" fillId="0" borderId="6" xfId="0" applyNumberFormat="1"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3" xfId="0" applyFont="1" applyBorder="1" applyAlignment="1">
      <alignment horizontal="center" vertical="center" wrapText="1"/>
    </xf>
    <xf numFmtId="0" fontId="36" fillId="0" borderId="24" xfId="0" applyFont="1" applyBorder="1" applyAlignment="1">
      <alignment horizontal="center" wrapText="1"/>
    </xf>
    <xf numFmtId="0" fontId="36" fillId="0" borderId="25" xfId="0" applyFont="1" applyBorder="1" applyAlignment="1">
      <alignment horizontal="center" wrapText="1"/>
    </xf>
    <xf numFmtId="0" fontId="37" fillId="0" borderId="2" xfId="0" applyFont="1" applyBorder="1" applyAlignment="1">
      <alignment horizontal="center" vertical="center" wrapText="1"/>
    </xf>
    <xf numFmtId="0" fontId="37" fillId="0" borderId="6" xfId="0" applyFont="1" applyBorder="1" applyAlignment="1">
      <alignment horizontal="center" vertical="center" wrapText="1"/>
    </xf>
    <xf numFmtId="4" fontId="36" fillId="0" borderId="4" xfId="0" applyNumberFormat="1" applyFont="1" applyBorder="1" applyAlignment="1">
      <alignment horizontal="center" vertical="center" wrapText="1"/>
    </xf>
    <xf numFmtId="4" fontId="36" fillId="0" borderId="8" xfId="0" applyNumberFormat="1" applyFont="1" applyBorder="1" applyAlignment="1">
      <alignment horizontal="center" vertical="center" wrapText="1"/>
    </xf>
    <xf numFmtId="4" fontId="36" fillId="0" borderId="9" xfId="0" applyNumberFormat="1" applyFont="1" applyBorder="1" applyAlignment="1">
      <alignment horizontal="center" vertical="center" wrapText="1"/>
    </xf>
    <xf numFmtId="4" fontId="36" fillId="0" borderId="7" xfId="0" applyNumberFormat="1" applyFont="1" applyBorder="1" applyAlignment="1">
      <alignment horizontal="center" vertical="center" wrapText="1"/>
    </xf>
    <xf numFmtId="4" fontId="36" fillId="0" borderId="0" xfId="0" applyNumberFormat="1" applyFont="1" applyAlignment="1">
      <alignment horizontal="center" vertical="center" wrapText="1"/>
    </xf>
    <xf numFmtId="4" fontId="36" fillId="0" borderId="38" xfId="0" applyNumberFormat="1" applyFont="1" applyBorder="1" applyAlignment="1">
      <alignment horizontal="center" vertical="center" wrapText="1"/>
    </xf>
    <xf numFmtId="4" fontId="36" fillId="0" borderId="41" xfId="0" applyNumberFormat="1" applyFont="1" applyBorder="1" applyAlignment="1">
      <alignment horizontal="center" vertical="center" wrapText="1"/>
    </xf>
    <xf numFmtId="4" fontId="36" fillId="0" borderId="33" xfId="0" applyNumberFormat="1" applyFont="1" applyBorder="1" applyAlignment="1">
      <alignment horizontal="center" vertical="center" wrapText="1"/>
    </xf>
    <xf numFmtId="4" fontId="36" fillId="0" borderId="39" xfId="0" applyNumberFormat="1" applyFont="1" applyBorder="1" applyAlignment="1">
      <alignment horizontal="center" vertical="center" wrapText="1"/>
    </xf>
    <xf numFmtId="0" fontId="3" fillId="11" borderId="46" xfId="0" applyFont="1" applyFill="1" applyBorder="1" applyAlignment="1">
      <alignment horizontal="left" vertical="center" wrapText="1"/>
    </xf>
    <xf numFmtId="0" fontId="36" fillId="0" borderId="18" xfId="0" applyFont="1" applyBorder="1" applyAlignment="1">
      <alignment horizontal="center" vertical="center" wrapText="1"/>
    </xf>
    <xf numFmtId="0" fontId="36" fillId="0" borderId="44"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50" xfId="0" applyFont="1" applyBorder="1" applyAlignment="1">
      <alignment horizontal="center" vertical="center" wrapText="1"/>
    </xf>
    <xf numFmtId="0" fontId="36" fillId="0" borderId="69" xfId="0" applyFont="1" applyBorder="1" applyAlignment="1">
      <alignment horizontal="center" vertical="center" wrapText="1"/>
    </xf>
    <xf numFmtId="0" fontId="41" fillId="0" borderId="28" xfId="0" applyFont="1" applyBorder="1" applyAlignment="1">
      <alignment horizontal="center" wrapText="1"/>
    </xf>
    <xf numFmtId="0" fontId="37" fillId="0" borderId="41" xfId="0" applyFont="1" applyBorder="1" applyAlignment="1">
      <alignment horizontal="center" vertical="center" wrapText="1"/>
    </xf>
    <xf numFmtId="0" fontId="37" fillId="0" borderId="33" xfId="0" applyFont="1" applyBorder="1" applyAlignment="1">
      <alignment horizontal="center" vertical="center" wrapText="1"/>
    </xf>
    <xf numFmtId="0" fontId="37" fillId="0" borderId="42" xfId="0" applyFont="1" applyBorder="1" applyAlignment="1">
      <alignment horizontal="center" vertical="center" wrapText="1"/>
    </xf>
    <xf numFmtId="0" fontId="36" fillId="0" borderId="49" xfId="0" applyFont="1" applyBorder="1" applyAlignment="1">
      <alignment horizontal="center" vertical="center" wrapText="1"/>
    </xf>
    <xf numFmtId="0" fontId="36" fillId="0" borderId="29" xfId="0" applyFont="1" applyBorder="1" applyAlignment="1">
      <alignment horizontal="center" vertical="center" wrapText="1"/>
    </xf>
    <xf numFmtId="0" fontId="36" fillId="0" borderId="52" xfId="0" applyFont="1" applyBorder="1" applyAlignment="1">
      <alignment horizontal="center" vertical="center" wrapText="1"/>
    </xf>
    <xf numFmtId="0" fontId="36" fillId="0" borderId="53" xfId="0" applyFont="1" applyBorder="1" applyAlignment="1">
      <alignment horizontal="center" vertical="center" wrapText="1"/>
    </xf>
    <xf numFmtId="0" fontId="36" fillId="0" borderId="54" xfId="0" applyFont="1" applyBorder="1" applyAlignment="1">
      <alignment horizontal="center" vertical="center" wrapText="1"/>
    </xf>
    <xf numFmtId="0" fontId="37" fillId="0" borderId="36" xfId="0" applyFont="1" applyBorder="1" applyAlignment="1">
      <alignment horizontal="center" vertical="center" wrapText="1"/>
    </xf>
    <xf numFmtId="0" fontId="37" fillId="0" borderId="37"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0" xfId="0" applyFont="1" applyAlignment="1">
      <alignment horizontal="center" vertical="center" wrapText="1"/>
    </xf>
    <xf numFmtId="0" fontId="37" fillId="0" borderId="21" xfId="0" applyFont="1" applyBorder="1" applyAlignment="1">
      <alignment horizontal="center" vertical="center" wrapText="1"/>
    </xf>
    <xf numFmtId="0" fontId="36" fillId="0" borderId="40" xfId="0" applyFont="1" applyBorder="1" applyAlignment="1">
      <alignment horizontal="left" vertical="center" wrapText="1"/>
    </xf>
    <xf numFmtId="0" fontId="36" fillId="0" borderId="48" xfId="0" applyFont="1" applyBorder="1" applyAlignment="1">
      <alignment horizontal="left" vertical="center" wrapText="1"/>
    </xf>
    <xf numFmtId="0" fontId="41" fillId="0" borderId="45" xfId="0" applyFont="1" applyBorder="1" applyAlignment="1">
      <alignment horizontal="center" vertical="center" wrapText="1"/>
    </xf>
    <xf numFmtId="0" fontId="41" fillId="0" borderId="33" xfId="0" applyFont="1" applyBorder="1" applyAlignment="1">
      <alignment horizontal="center" vertical="center" wrapText="1"/>
    </xf>
    <xf numFmtId="0" fontId="41" fillId="0" borderId="17" xfId="0" applyFont="1" applyBorder="1" applyAlignment="1">
      <alignment horizontal="center" wrapText="1"/>
    </xf>
    <xf numFmtId="0" fontId="41" fillId="0" borderId="18" xfId="0" applyFont="1" applyBorder="1" applyAlignment="1">
      <alignment horizontal="center" wrapText="1"/>
    </xf>
    <xf numFmtId="0" fontId="41" fillId="0" borderId="20" xfId="0" applyFont="1" applyBorder="1" applyAlignment="1">
      <alignment horizontal="center" wrapText="1"/>
    </xf>
    <xf numFmtId="0" fontId="41" fillId="0" borderId="0" xfId="0" applyFont="1" applyAlignment="1">
      <alignment horizontal="center" wrapText="1"/>
    </xf>
    <xf numFmtId="0" fontId="36" fillId="0" borderId="12"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47" xfId="0" applyFont="1" applyBorder="1" applyAlignment="1">
      <alignment horizontal="center" vertical="center" wrapText="1"/>
    </xf>
    <xf numFmtId="0" fontId="36" fillId="0" borderId="17" xfId="0" applyFont="1" applyBorder="1" applyAlignment="1">
      <alignment horizontal="left" vertical="top" wrapText="1"/>
    </xf>
    <xf numFmtId="0" fontId="36" fillId="0" borderId="18" xfId="0" applyFont="1" applyBorder="1" applyAlignment="1">
      <alignment horizontal="left" vertical="top" wrapText="1"/>
    </xf>
    <xf numFmtId="0" fontId="36" fillId="0" borderId="19" xfId="0" applyFont="1" applyBorder="1" applyAlignment="1">
      <alignment horizontal="left" vertical="top" wrapText="1"/>
    </xf>
    <xf numFmtId="0" fontId="36" fillId="0" borderId="20" xfId="0" applyFont="1" applyBorder="1" applyAlignment="1">
      <alignment horizontal="left" vertical="top" wrapText="1"/>
    </xf>
    <xf numFmtId="0" fontId="36" fillId="0" borderId="0" xfId="0" applyFont="1" applyAlignment="1">
      <alignment horizontal="left" vertical="top" wrapText="1"/>
    </xf>
    <xf numFmtId="0" fontId="36" fillId="0" borderId="21" xfId="0" applyFont="1" applyBorder="1" applyAlignment="1">
      <alignment horizontal="left" vertical="top" wrapText="1"/>
    </xf>
    <xf numFmtId="0" fontId="36" fillId="0" borderId="45" xfId="0" applyFont="1" applyBorder="1" applyAlignment="1">
      <alignment horizontal="left" vertical="top" wrapText="1"/>
    </xf>
    <xf numFmtId="0" fontId="36" fillId="0" borderId="33" xfId="0" applyFont="1" applyBorder="1" applyAlignment="1">
      <alignment horizontal="left" vertical="top" wrapText="1"/>
    </xf>
    <xf numFmtId="0" fontId="36" fillId="0" borderId="42" xfId="0" applyFont="1" applyBorder="1" applyAlignment="1">
      <alignment horizontal="left" vertical="top" wrapText="1"/>
    </xf>
    <xf numFmtId="2" fontId="29" fillId="0" borderId="5" xfId="0" applyNumberFormat="1" applyFont="1" applyBorder="1" applyAlignment="1">
      <alignment horizontal="center" vertical="center" wrapText="1"/>
    </xf>
    <xf numFmtId="2" fontId="43" fillId="0" borderId="5" xfId="0" applyNumberFormat="1" applyFont="1" applyBorder="1" applyAlignment="1">
      <alignment horizontal="center" vertical="center" wrapText="1"/>
    </xf>
    <xf numFmtId="0" fontId="13" fillId="2" borderId="13" xfId="0" applyFont="1" applyFill="1" applyBorder="1" applyAlignment="1">
      <alignment horizontal="left" vertical="center" wrapText="1"/>
    </xf>
    <xf numFmtId="0" fontId="13" fillId="2" borderId="14" xfId="0" applyFont="1" applyFill="1" applyBorder="1" applyAlignment="1">
      <alignment horizontal="left" vertical="center" wrapText="1"/>
    </xf>
    <xf numFmtId="0" fontId="13" fillId="2" borderId="15" xfId="0" applyFont="1" applyFill="1" applyBorder="1" applyAlignment="1">
      <alignment horizontal="left" vertical="center" wrapText="1"/>
    </xf>
    <xf numFmtId="2" fontId="29" fillId="0" borderId="2" xfId="0" applyNumberFormat="1" applyFont="1" applyBorder="1" applyAlignment="1">
      <alignment horizontal="center" vertical="center" wrapText="1"/>
    </xf>
    <xf numFmtId="2" fontId="29" fillId="0" borderId="6" xfId="0" applyNumberFormat="1" applyFont="1" applyBorder="1" applyAlignment="1">
      <alignment horizontal="center" vertical="center" wrapText="1"/>
    </xf>
    <xf numFmtId="2" fontId="29" fillId="0" borderId="1" xfId="0" applyNumberFormat="1" applyFont="1" applyBorder="1" applyAlignment="1">
      <alignment horizontal="center" vertical="center" wrapText="1"/>
    </xf>
    <xf numFmtId="0" fontId="17" fillId="0" borderId="41"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42" xfId="0" applyFont="1" applyBorder="1" applyAlignment="1">
      <alignment horizontal="center" vertical="center" wrapText="1"/>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 fillId="0" borderId="54" xfId="0" applyFont="1" applyBorder="1" applyAlignment="1">
      <alignment horizontal="center" vertical="center"/>
    </xf>
    <xf numFmtId="0" fontId="16" fillId="0" borderId="18" xfId="0" applyFont="1" applyBorder="1" applyAlignment="1">
      <alignment horizontal="center" vertical="center"/>
    </xf>
    <xf numFmtId="0" fontId="16" fillId="0" borderId="44"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3" xfId="0" applyFont="1" applyBorder="1" applyAlignment="1">
      <alignment horizontal="center" vertical="center" wrapText="1"/>
    </xf>
    <xf numFmtId="4" fontId="16" fillId="0" borderId="3" xfId="0" applyNumberFormat="1" applyFont="1" applyBorder="1" applyAlignment="1">
      <alignment horizontal="left" vertical="center"/>
    </xf>
    <xf numFmtId="4" fontId="16" fillId="0" borderId="6" xfId="0" applyNumberFormat="1" applyFont="1" applyBorder="1" applyAlignment="1">
      <alignment horizontal="left" vertical="center"/>
    </xf>
    <xf numFmtId="4" fontId="16" fillId="0" borderId="4" xfId="0" applyNumberFormat="1" applyFont="1" applyBorder="1" applyAlignment="1">
      <alignment horizontal="center" vertical="center" wrapText="1"/>
    </xf>
    <xf numFmtId="4" fontId="16" fillId="0" borderId="8" xfId="0" applyNumberFormat="1" applyFont="1" applyBorder="1" applyAlignment="1">
      <alignment horizontal="center" vertical="center"/>
    </xf>
    <xf numFmtId="4" fontId="16" fillId="0" borderId="9" xfId="0" applyNumberFormat="1" applyFont="1" applyBorder="1" applyAlignment="1">
      <alignment horizontal="center" vertical="center"/>
    </xf>
    <xf numFmtId="4" fontId="16" fillId="0" borderId="7" xfId="0" applyNumberFormat="1" applyFont="1" applyBorder="1" applyAlignment="1">
      <alignment horizontal="center" vertical="center"/>
    </xf>
    <xf numFmtId="4" fontId="16" fillId="0" borderId="0" xfId="0" applyNumberFormat="1" applyFont="1" applyAlignment="1">
      <alignment horizontal="center" vertical="center"/>
    </xf>
    <xf numFmtId="4" fontId="16" fillId="0" borderId="38" xfId="0" applyNumberFormat="1" applyFont="1" applyBorder="1" applyAlignment="1">
      <alignment horizontal="center" vertical="center"/>
    </xf>
    <xf numFmtId="4" fontId="16" fillId="0" borderId="41" xfId="0" applyNumberFormat="1" applyFont="1" applyBorder="1" applyAlignment="1">
      <alignment horizontal="center" vertical="center"/>
    </xf>
    <xf numFmtId="4" fontId="16" fillId="0" borderId="33" xfId="0" applyNumberFormat="1" applyFont="1" applyBorder="1" applyAlignment="1">
      <alignment horizontal="center" vertical="center"/>
    </xf>
    <xf numFmtId="4" fontId="16" fillId="0" borderId="39" xfId="0" applyNumberFormat="1" applyFont="1" applyBorder="1" applyAlignment="1">
      <alignment horizontal="center" vertical="center"/>
    </xf>
    <xf numFmtId="0" fontId="17" fillId="0" borderId="2" xfId="0" applyFont="1" applyBorder="1" applyAlignment="1">
      <alignment horizontal="center" vertical="center" wrapText="1"/>
    </xf>
    <xf numFmtId="0" fontId="17" fillId="0" borderId="6" xfId="0" applyFont="1" applyBorder="1" applyAlignment="1">
      <alignment horizontal="center" vertical="center" wrapText="1"/>
    </xf>
    <xf numFmtId="4" fontId="16" fillId="0" borderId="3" xfId="0" applyNumberFormat="1" applyFont="1" applyBorder="1" applyAlignment="1">
      <alignment horizontal="left" vertical="center" wrapText="1"/>
    </xf>
    <xf numFmtId="4" fontId="16" fillId="0" borderId="6" xfId="0" applyNumberFormat="1" applyFont="1" applyBorder="1" applyAlignment="1">
      <alignment horizontal="left" vertical="center" wrapText="1"/>
    </xf>
    <xf numFmtId="0" fontId="17" fillId="0" borderId="7" xfId="0" applyFont="1" applyBorder="1" applyAlignment="1">
      <alignment horizontal="center" vertical="center" wrapText="1"/>
    </xf>
    <xf numFmtId="0" fontId="17" fillId="0" borderId="0" xfId="0" applyFont="1" applyAlignment="1">
      <alignment horizontal="center" vertical="center" wrapText="1"/>
    </xf>
    <xf numFmtId="0" fontId="17" fillId="0" borderId="21" xfId="0" applyFont="1" applyBorder="1" applyAlignment="1">
      <alignment horizontal="center" vertical="center" wrapText="1"/>
    </xf>
    <xf numFmtId="0" fontId="16" fillId="0" borderId="40" xfId="0" applyFont="1" applyBorder="1" applyAlignment="1">
      <alignment horizontal="left" vertical="center"/>
    </xf>
    <xf numFmtId="0" fontId="16" fillId="0" borderId="48" xfId="0" applyFont="1" applyBorder="1" applyAlignment="1">
      <alignment horizontal="left" vertical="center"/>
    </xf>
    <xf numFmtId="0" fontId="22" fillId="0" borderId="17" xfId="0" applyFont="1" applyBorder="1" applyAlignment="1">
      <alignment horizontal="center"/>
    </xf>
    <xf numFmtId="0" fontId="22" fillId="0" borderId="18" xfId="0" applyFont="1" applyBorder="1" applyAlignment="1">
      <alignment horizontal="center"/>
    </xf>
    <xf numFmtId="0" fontId="22" fillId="0" borderId="20" xfId="0" applyFont="1" applyBorder="1" applyAlignment="1">
      <alignment horizontal="center"/>
    </xf>
    <xf numFmtId="0" fontId="22" fillId="0" borderId="0" xfId="0" applyFont="1" applyAlignment="1">
      <alignment horizontal="center"/>
    </xf>
    <xf numFmtId="0" fontId="14" fillId="0" borderId="28" xfId="0" applyFont="1" applyBorder="1" applyAlignment="1">
      <alignment horizont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2" fontId="20" fillId="0" borderId="36" xfId="0" applyNumberFormat="1" applyFont="1" applyBorder="1" applyAlignment="1">
      <alignment horizontal="center" vertical="center"/>
    </xf>
    <xf numFmtId="2" fontId="20" fillId="0" borderId="31" xfId="0" applyNumberFormat="1" applyFont="1" applyBorder="1" applyAlignment="1">
      <alignment horizontal="center" vertical="center"/>
    </xf>
    <xf numFmtId="0" fontId="20" fillId="0" borderId="36" xfId="0" applyFont="1" applyBorder="1" applyAlignment="1">
      <alignment horizontal="center" vertical="center"/>
    </xf>
    <xf numFmtId="0" fontId="20" fillId="0" borderId="31" xfId="0" applyFont="1" applyBorder="1" applyAlignment="1">
      <alignment horizontal="center" vertical="center"/>
    </xf>
    <xf numFmtId="0" fontId="20" fillId="0" borderId="37" xfId="0" applyFont="1" applyBorder="1" applyAlignment="1">
      <alignment horizontal="center" vertical="center"/>
    </xf>
    <xf numFmtId="0" fontId="20" fillId="0" borderId="32" xfId="0" applyFont="1" applyBorder="1" applyAlignment="1">
      <alignment horizontal="center" vertical="center"/>
    </xf>
    <xf numFmtId="0" fontId="19" fillId="0" borderId="19" xfId="0" applyFont="1" applyBorder="1" applyAlignment="1">
      <alignment horizontal="center" vertical="center"/>
    </xf>
    <xf numFmtId="0" fontId="19" fillId="0" borderId="21" xfId="0" applyFont="1" applyBorder="1" applyAlignment="1">
      <alignment horizontal="center" vertical="center"/>
    </xf>
    <xf numFmtId="0" fontId="19" fillId="0" borderId="42" xfId="0" applyFont="1" applyBorder="1" applyAlignment="1">
      <alignment horizontal="center" vertical="center"/>
    </xf>
    <xf numFmtId="0" fontId="21" fillId="0" borderId="17" xfId="0" applyFont="1" applyBorder="1" applyAlignment="1">
      <alignment horizontal="left" vertical="top" wrapText="1"/>
    </xf>
    <xf numFmtId="0" fontId="21" fillId="0" borderId="18" xfId="0" applyFont="1" applyBorder="1" applyAlignment="1">
      <alignment horizontal="left" vertical="top" wrapText="1"/>
    </xf>
    <xf numFmtId="0" fontId="21" fillId="0" borderId="19" xfId="0" applyFont="1" applyBorder="1" applyAlignment="1">
      <alignment horizontal="left" vertical="top" wrapText="1"/>
    </xf>
    <xf numFmtId="0" fontId="21" fillId="0" borderId="20" xfId="0" applyFont="1" applyBorder="1" applyAlignment="1">
      <alignment horizontal="left" vertical="top" wrapText="1"/>
    </xf>
    <xf numFmtId="0" fontId="21" fillId="0" borderId="0" xfId="0" applyFont="1" applyAlignment="1">
      <alignment horizontal="left" vertical="top" wrapText="1"/>
    </xf>
    <xf numFmtId="0" fontId="21" fillId="0" borderId="21" xfId="0" applyFont="1" applyBorder="1" applyAlignment="1">
      <alignment horizontal="left" vertical="top" wrapText="1"/>
    </xf>
    <xf numFmtId="0" fontId="21" fillId="0" borderId="45" xfId="0" applyFont="1" applyBorder="1" applyAlignment="1">
      <alignment horizontal="left" vertical="top" wrapText="1"/>
    </xf>
    <xf numFmtId="0" fontId="21" fillId="0" borderId="33" xfId="0" applyFont="1" applyBorder="1" applyAlignment="1">
      <alignment horizontal="left" vertical="top" wrapText="1"/>
    </xf>
    <xf numFmtId="0" fontId="21" fillId="0" borderId="42" xfId="0" applyFont="1" applyBorder="1" applyAlignment="1">
      <alignment horizontal="left" vertical="top" wrapText="1"/>
    </xf>
    <xf numFmtId="0" fontId="19" fillId="0" borderId="45" xfId="0" applyFont="1" applyBorder="1" applyAlignment="1">
      <alignment horizontal="center" vertical="center" wrapText="1"/>
    </xf>
    <xf numFmtId="0" fontId="19" fillId="0" borderId="33" xfId="0" applyFont="1" applyBorder="1" applyAlignment="1">
      <alignment horizontal="center" vertical="center" wrapText="1"/>
    </xf>
    <xf numFmtId="164" fontId="6" fillId="3" borderId="30" xfId="0" applyNumberFormat="1" applyFont="1" applyFill="1" applyBorder="1" applyAlignment="1">
      <alignment horizontal="center" vertical="center" wrapText="1"/>
    </xf>
    <xf numFmtId="164" fontId="6" fillId="3" borderId="32" xfId="0" applyNumberFormat="1" applyFont="1" applyFill="1" applyBorder="1" applyAlignment="1">
      <alignment horizontal="center" vertical="center" wrapText="1"/>
    </xf>
    <xf numFmtId="4" fontId="5" fillId="3" borderId="12" xfId="0" applyNumberFormat="1" applyFont="1" applyFill="1" applyBorder="1" applyAlignment="1">
      <alignment horizontal="left" vertical="center"/>
    </xf>
    <xf numFmtId="0" fontId="5" fillId="3" borderId="14" xfId="0" applyFont="1" applyFill="1" applyBorder="1" applyAlignment="1">
      <alignment horizontal="left" vertical="center"/>
    </xf>
    <xf numFmtId="10" fontId="6" fillId="6" borderId="35" xfId="0" applyNumberFormat="1" applyFont="1" applyFill="1" applyBorder="1" applyAlignment="1">
      <alignment horizontal="center" vertical="center" wrapText="1"/>
    </xf>
    <xf numFmtId="10" fontId="6" fillId="6" borderId="37" xfId="0" applyNumberFormat="1" applyFont="1" applyFill="1" applyBorder="1" applyAlignment="1">
      <alignment horizontal="center" vertical="center" wrapText="1"/>
    </xf>
    <xf numFmtId="4" fontId="5" fillId="3" borderId="12" xfId="0" applyNumberFormat="1" applyFont="1" applyFill="1" applyBorder="1" applyAlignment="1">
      <alignment horizontal="left" vertical="center" wrapText="1"/>
    </xf>
    <xf numFmtId="4" fontId="5" fillId="3" borderId="14" xfId="0" applyNumberFormat="1" applyFont="1" applyFill="1" applyBorder="1" applyAlignment="1">
      <alignment horizontal="left" vertical="center" wrapText="1"/>
    </xf>
    <xf numFmtId="0" fontId="4" fillId="3" borderId="17" xfId="0" applyFont="1" applyFill="1" applyBorder="1" applyAlignment="1">
      <alignment horizontal="center" vertical="center"/>
    </xf>
    <xf numFmtId="0" fontId="4" fillId="3" borderId="45" xfId="0" applyFont="1" applyFill="1" applyBorder="1" applyAlignment="1">
      <alignment horizontal="center" vertical="center"/>
    </xf>
    <xf numFmtId="0" fontId="4" fillId="3" borderId="17"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45" xfId="0" applyFont="1" applyFill="1" applyBorder="1" applyAlignment="1">
      <alignment horizontal="center" vertical="center" wrapText="1"/>
    </xf>
    <xf numFmtId="0" fontId="4" fillId="3" borderId="42" xfId="0" applyFont="1" applyFill="1" applyBorder="1" applyAlignment="1">
      <alignment horizontal="center" vertical="center" wrapText="1"/>
    </xf>
    <xf numFmtId="0" fontId="24" fillId="0" borderId="45" xfId="0" applyFont="1" applyBorder="1" applyAlignment="1">
      <alignment horizontal="center" vertical="center"/>
    </xf>
    <xf numFmtId="0" fontId="24" fillId="0" borderId="33" xfId="0" applyFont="1" applyBorder="1" applyAlignment="1">
      <alignment horizontal="center" vertical="center"/>
    </xf>
    <xf numFmtId="0" fontId="4" fillId="3" borderId="18" xfId="0" applyFont="1" applyFill="1" applyBorder="1" applyAlignment="1">
      <alignment horizontal="center" vertical="center"/>
    </xf>
    <xf numFmtId="0" fontId="3" fillId="3" borderId="12" xfId="0" applyFont="1" applyFill="1" applyBorder="1" applyAlignment="1">
      <alignment horizontal="center" vertical="center" wrapText="1"/>
    </xf>
    <xf numFmtId="0" fontId="3" fillId="3" borderId="14" xfId="0" applyFont="1" applyFill="1" applyBorder="1" applyAlignment="1">
      <alignment horizontal="center" vertical="center"/>
    </xf>
    <xf numFmtId="0" fontId="3" fillId="3"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0" xfId="0" applyFont="1" applyFill="1" applyAlignment="1">
      <alignment horizontal="center" vertical="center"/>
    </xf>
    <xf numFmtId="0" fontId="4" fillId="3" borderId="21"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34" xfId="0" applyFont="1" applyFill="1" applyBorder="1" applyAlignment="1">
      <alignment horizontal="center" vertical="center"/>
    </xf>
    <xf numFmtId="0" fontId="5" fillId="5" borderId="12" xfId="0" applyFont="1" applyFill="1" applyBorder="1" applyAlignment="1">
      <alignment horizontal="center" vertical="center"/>
    </xf>
    <xf numFmtId="0" fontId="5" fillId="5" borderId="14" xfId="0" applyFont="1" applyFill="1" applyBorder="1" applyAlignment="1">
      <alignment horizontal="center" vertical="center"/>
    </xf>
    <xf numFmtId="0" fontId="5" fillId="5" borderId="15" xfId="0" applyFont="1" applyFill="1" applyBorder="1" applyAlignment="1">
      <alignment horizontal="center" vertical="center"/>
    </xf>
    <xf numFmtId="0" fontId="24" fillId="0" borderId="17" xfId="0" applyFont="1" applyBorder="1" applyAlignment="1">
      <alignment horizontal="center" vertical="center"/>
    </xf>
    <xf numFmtId="0" fontId="24" fillId="0" borderId="18" xfId="0" applyFont="1" applyBorder="1" applyAlignment="1">
      <alignment horizontal="center" vertical="center"/>
    </xf>
    <xf numFmtId="0" fontId="24" fillId="0" borderId="20" xfId="0" applyFont="1" applyBorder="1" applyAlignment="1">
      <alignment horizontal="center" vertical="center"/>
    </xf>
    <xf numFmtId="0" fontId="24" fillId="0" borderId="0" xfId="0" applyFont="1" applyAlignment="1">
      <alignment horizontal="center" vertical="center"/>
    </xf>
    <xf numFmtId="0" fontId="2" fillId="0" borderId="0" xfId="0" applyFont="1" applyAlignment="1">
      <alignment horizontal="justify"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21" xfId="0" applyFont="1" applyBorder="1" applyAlignment="1">
      <alignment horizontal="justify" vertical="center" wrapText="1"/>
    </xf>
    <xf numFmtId="0" fontId="10" fillId="3" borderId="0" xfId="0" applyFont="1" applyFill="1" applyAlignment="1">
      <alignment horizontal="center" vertical="center"/>
    </xf>
    <xf numFmtId="0" fontId="4" fillId="3" borderId="52" xfId="0" applyFont="1" applyFill="1" applyBorder="1" applyAlignment="1">
      <alignment horizontal="center" vertical="center"/>
    </xf>
    <xf numFmtId="0" fontId="4" fillId="3" borderId="54" xfId="0" applyFont="1" applyFill="1" applyBorder="1" applyAlignment="1">
      <alignment horizontal="center" vertical="center"/>
    </xf>
    <xf numFmtId="0" fontId="2" fillId="0" borderId="0" xfId="0" applyFont="1" applyAlignment="1">
      <alignment horizontal="left" vertical="center" wrapText="1"/>
    </xf>
    <xf numFmtId="0" fontId="2" fillId="0" borderId="21" xfId="0" applyFont="1" applyBorder="1" applyAlignment="1">
      <alignment horizontal="left" vertical="center" wrapText="1"/>
    </xf>
    <xf numFmtId="164" fontId="0" fillId="0" borderId="12" xfId="0" applyNumberFormat="1" applyBorder="1" applyAlignment="1">
      <alignment horizontal="center" vertical="center"/>
    </xf>
    <xf numFmtId="164" fontId="0" fillId="0" borderId="15" xfId="0" applyNumberFormat="1" applyBorder="1" applyAlignment="1">
      <alignment horizontal="center" vertical="center"/>
    </xf>
    <xf numFmtId="0" fontId="30" fillId="0" borderId="0" xfId="0" applyFont="1" applyAlignment="1">
      <alignment horizontal="center" vertical="center" wrapText="1"/>
    </xf>
    <xf numFmtId="0" fontId="30" fillId="0" borderId="21" xfId="0" applyFont="1" applyBorder="1" applyAlignment="1">
      <alignment horizontal="center" vertical="center" wrapText="1"/>
    </xf>
    <xf numFmtId="0" fontId="34" fillId="0" borderId="0" xfId="0" applyFont="1" applyAlignment="1">
      <alignment horizontal="center" vertical="center"/>
    </xf>
    <xf numFmtId="0" fontId="34" fillId="0" borderId="21" xfId="0" applyFont="1" applyBorder="1" applyAlignment="1">
      <alignment horizontal="center" vertical="center"/>
    </xf>
    <xf numFmtId="0" fontId="35" fillId="0" borderId="0" xfId="0" applyFont="1" applyAlignment="1">
      <alignment horizontal="center" vertical="center"/>
    </xf>
    <xf numFmtId="0" fontId="35" fillId="0" borderId="21" xfId="0" applyFont="1" applyBorder="1" applyAlignment="1">
      <alignment horizontal="center" vertical="center"/>
    </xf>
    <xf numFmtId="0" fontId="35" fillId="0" borderId="0" xfId="0" applyFont="1" applyAlignment="1">
      <alignment horizontal="center" vertical="top"/>
    </xf>
    <xf numFmtId="0" fontId="35" fillId="0" borderId="21" xfId="0" applyFont="1" applyBorder="1" applyAlignment="1">
      <alignment horizontal="center" vertical="top"/>
    </xf>
    <xf numFmtId="164" fontId="32" fillId="0" borderId="2" xfId="1" applyNumberFormat="1" applyFont="1" applyBorder="1" applyAlignment="1">
      <alignment horizontal="center" vertical="center"/>
    </xf>
    <xf numFmtId="164" fontId="32" fillId="0" borderId="6" xfId="1" applyNumberFormat="1" applyFont="1" applyBorder="1" applyAlignment="1">
      <alignment horizontal="center" vertical="center"/>
    </xf>
    <xf numFmtId="4" fontId="4" fillId="9" borderId="26" xfId="0" applyNumberFormat="1" applyFont="1" applyFill="1" applyBorder="1" applyAlignment="1">
      <alignment horizontal="center"/>
    </xf>
    <xf numFmtId="4" fontId="4" fillId="9" borderId="1" xfId="0" applyNumberFormat="1" applyFont="1" applyFill="1" applyBorder="1" applyAlignment="1">
      <alignment horizontal="center"/>
    </xf>
    <xf numFmtId="4" fontId="4" fillId="9" borderId="5" xfId="0" applyNumberFormat="1" applyFont="1" applyFill="1" applyBorder="1" applyAlignment="1">
      <alignment horizontal="center"/>
    </xf>
    <xf numFmtId="10" fontId="0" fillId="7" borderId="1" xfId="0" applyNumberFormat="1" applyFill="1" applyBorder="1" applyAlignment="1">
      <alignment horizontal="center"/>
    </xf>
    <xf numFmtId="0" fontId="0" fillId="0" borderId="70" xfId="0" applyBorder="1" applyAlignment="1">
      <alignment horizontal="left"/>
    </xf>
    <xf numFmtId="0" fontId="0" fillId="0" borderId="6" xfId="0" applyBorder="1" applyAlignment="1">
      <alignment horizontal="left"/>
    </xf>
    <xf numFmtId="0" fontId="5" fillId="8" borderId="1" xfId="0" applyFont="1" applyFill="1" applyBorder="1" applyAlignment="1">
      <alignment horizontal="center" vertical="center"/>
    </xf>
    <xf numFmtId="0" fontId="5" fillId="8" borderId="22" xfId="0" applyFont="1" applyFill="1" applyBorder="1" applyAlignment="1">
      <alignment horizontal="center" vertical="center"/>
    </xf>
    <xf numFmtId="0" fontId="0" fillId="0" borderId="1" xfId="0" applyBorder="1" applyAlignment="1">
      <alignment horizontal="center" vertical="center" wrapText="1"/>
    </xf>
    <xf numFmtId="0" fontId="0" fillId="0" borderId="22" xfId="0" applyBorder="1" applyAlignment="1">
      <alignment horizontal="center" vertical="center" wrapText="1"/>
    </xf>
    <xf numFmtId="4" fontId="32" fillId="0" borderId="2"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70" xfId="0" applyFont="1" applyBorder="1" applyAlignment="1">
      <alignment horizontal="left" vertical="center"/>
    </xf>
    <xf numFmtId="0" fontId="32" fillId="0" borderId="3" xfId="0" applyFont="1" applyBorder="1" applyAlignment="1">
      <alignment horizontal="left" vertical="center"/>
    </xf>
    <xf numFmtId="0" fontId="32" fillId="0" borderId="6" xfId="0" applyFont="1" applyBorder="1" applyAlignment="1">
      <alignment horizontal="left" vertical="center"/>
    </xf>
    <xf numFmtId="0" fontId="33" fillId="0" borderId="26" xfId="0" applyFont="1" applyBorder="1" applyAlignment="1">
      <alignment horizontal="center" vertical="center"/>
    </xf>
    <xf numFmtId="0" fontId="33" fillId="0" borderId="1" xfId="0" applyFont="1" applyBorder="1" applyAlignment="1">
      <alignment horizontal="center" vertical="center"/>
    </xf>
    <xf numFmtId="0" fontId="33" fillId="0" borderId="22" xfId="0" applyFont="1" applyBorder="1" applyAlignment="1">
      <alignment horizontal="center" vertical="center"/>
    </xf>
    <xf numFmtId="0" fontId="0" fillId="0" borderId="1" xfId="0" applyBorder="1" applyAlignment="1">
      <alignment horizontal="center"/>
    </xf>
    <xf numFmtId="0" fontId="32" fillId="0" borderId="70" xfId="0" applyFont="1" applyBorder="1" applyAlignment="1">
      <alignment horizontal="left" vertical="center" wrapText="1"/>
    </xf>
    <xf numFmtId="0" fontId="32" fillId="0" borderId="3" xfId="0" applyFont="1" applyBorder="1" applyAlignment="1">
      <alignment horizontal="left" vertical="center" wrapText="1"/>
    </xf>
    <xf numFmtId="0" fontId="32" fillId="0" borderId="6" xfId="0" applyFont="1" applyBorder="1" applyAlignment="1">
      <alignment horizontal="left" vertical="center" wrapText="1"/>
    </xf>
    <xf numFmtId="0" fontId="7" fillId="0" borderId="70" xfId="0" applyFont="1" applyBorder="1" applyAlignment="1">
      <alignment horizontal="left"/>
    </xf>
    <xf numFmtId="0" fontId="7" fillId="0" borderId="6" xfId="0" applyFont="1" applyBorder="1" applyAlignment="1">
      <alignment horizontal="left"/>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32" fillId="0" borderId="26" xfId="0" applyFont="1" applyBorder="1" applyAlignment="1">
      <alignment horizontal="left" vertical="center"/>
    </xf>
    <xf numFmtId="0" fontId="32" fillId="0" borderId="1" xfId="0" applyFont="1" applyBorder="1" applyAlignment="1">
      <alignment horizontal="left" vertical="center"/>
    </xf>
    <xf numFmtId="0" fontId="32" fillId="0" borderId="2" xfId="0" applyFont="1" applyBorder="1" applyAlignment="1">
      <alignment horizontal="center" vertical="center"/>
    </xf>
    <xf numFmtId="0" fontId="32" fillId="0" borderId="6" xfId="0" applyFont="1" applyBorder="1" applyAlignment="1">
      <alignment horizontal="center" vertical="center"/>
    </xf>
    <xf numFmtId="0" fontId="32" fillId="0" borderId="2" xfId="0" applyFont="1" applyBorder="1" applyAlignment="1">
      <alignment horizontal="center" vertical="center" wrapText="1"/>
    </xf>
    <xf numFmtId="0" fontId="32" fillId="0" borderId="70" xfId="0" applyFont="1" applyBorder="1" applyAlignment="1">
      <alignment horizontal="justify" vertical="center" wrapText="1"/>
    </xf>
    <xf numFmtId="0" fontId="32" fillId="0" borderId="3" xfId="0" applyFont="1" applyBorder="1" applyAlignment="1">
      <alignment horizontal="justify" vertical="center" wrapText="1"/>
    </xf>
    <xf numFmtId="0" fontId="32" fillId="0" borderId="43" xfId="0" applyFont="1" applyBorder="1" applyAlignment="1">
      <alignment horizontal="justify" vertical="center" wrapText="1"/>
    </xf>
  </cellXfs>
  <cellStyles count="5">
    <cellStyle name="Hiperlink" xfId="2" builtinId="8"/>
    <cellStyle name="Moeda" xfId="1" builtinId="4"/>
    <cellStyle name="Normal" xfId="0" builtinId="0"/>
    <cellStyle name="Porcentagem" xfId="3" builtinId="5"/>
    <cellStyle name="Vírgula" xfId="4" builtinId="3"/>
  </cellStyles>
  <dxfs count="6">
    <dxf>
      <font>
        <b/>
        <i val="0"/>
        <condense val="0"/>
        <extend val="0"/>
      </font>
    </dxf>
    <dxf>
      <font>
        <b/>
        <i val="0"/>
        <condense val="0"/>
        <extend val="0"/>
      </font>
      <fill>
        <patternFill>
          <bgColor indexed="43"/>
        </patternFill>
      </fill>
    </dxf>
    <dxf>
      <fill>
        <patternFill patternType="none">
          <bgColor indexed="65"/>
        </patternFill>
      </fill>
    </dxf>
    <dxf>
      <font>
        <b/>
        <i val="0"/>
        <condense val="0"/>
        <extend val="0"/>
      </font>
    </dxf>
    <dxf>
      <font>
        <b/>
        <i val="0"/>
        <condense val="0"/>
        <extend val="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111271</xdr:colOff>
      <xdr:row>0</xdr:row>
      <xdr:rowOff>93137</xdr:rowOff>
    </xdr:from>
    <xdr:to>
      <xdr:col>0</xdr:col>
      <xdr:colOff>1452562</xdr:colOff>
      <xdr:row>4</xdr:row>
      <xdr:rowOff>155854</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11271" y="93137"/>
          <a:ext cx="1341291" cy="8247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135083</xdr:colOff>
      <xdr:row>1</xdr:row>
      <xdr:rowOff>206018</xdr:rowOff>
    </xdr:from>
    <xdr:to>
      <xdr:col>1</xdr:col>
      <xdr:colOff>8392</xdr:colOff>
      <xdr:row>3</xdr:row>
      <xdr:rowOff>210917</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35083" y="610831"/>
          <a:ext cx="1397309" cy="8621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ABINETE\Users\RJ%20Morais%20Engenharia%20e%20Empreendimentos\LICITA&#199;&#213;ES\Cedro%20do%20abaet&#233;%20CREDENCIAMENTO\PLANILHA%20OR&#199;AMENT&#193;RIA%20-%20PROJETOS%20EXT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GERAL"/>
      <sheetName val="COMPOSIÇÃO BDI"/>
    </sheetNames>
    <sheetDataSet>
      <sheetData sheetId="0">
        <row r="3">
          <cell r="A3" t="str">
            <v xml:space="preserve">OBJETO: Contratação eventual e futura de empresa especializada para prestação de serviços de elaboração de Projetos Complementares, Planilhas Orçamentárias e Memoriais Descritivos, atendendo às necessidades da Secretaria de Obras deste Município. </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J79"/>
  <sheetViews>
    <sheetView tabSelected="1" view="pageBreakPreview" topLeftCell="A54" zoomScale="70" zoomScaleNormal="100" zoomScaleSheetLayoutView="70" workbookViewId="0">
      <selection activeCell="D76" sqref="D76"/>
    </sheetView>
  </sheetViews>
  <sheetFormatPr defaultRowHeight="15" x14ac:dyDescent="0.2"/>
  <cols>
    <col min="1" max="1" width="22.7109375" style="159" customWidth="1"/>
    <col min="2" max="2" width="14.140625" style="138" customWidth="1"/>
    <col min="3" max="3" width="9.140625" style="138" bestFit="1" customWidth="1"/>
    <col min="4" max="4" width="214.28515625" style="138" customWidth="1"/>
    <col min="5" max="5" width="6.5703125" style="138" bestFit="1" customWidth="1"/>
    <col min="6" max="6" width="10.7109375" style="138" customWidth="1"/>
    <col min="7" max="9" width="20.85546875" style="138" bestFit="1" customWidth="1"/>
    <col min="10" max="10" width="23.42578125" style="138" bestFit="1" customWidth="1"/>
    <col min="11" max="16384" width="9.140625" style="138"/>
  </cols>
  <sheetData>
    <row r="1" spans="1:10" ht="15.75" x14ac:dyDescent="0.2">
      <c r="A1" s="195"/>
      <c r="B1" s="183" t="s">
        <v>8</v>
      </c>
      <c r="C1" s="183"/>
      <c r="D1" s="183"/>
      <c r="E1" s="183"/>
      <c r="F1" s="183"/>
      <c r="G1" s="184"/>
      <c r="H1" s="198" t="s">
        <v>238</v>
      </c>
      <c r="I1" s="198"/>
      <c r="J1" s="199"/>
    </row>
    <row r="2" spans="1:10" ht="15.75" x14ac:dyDescent="0.2">
      <c r="A2" s="196"/>
      <c r="B2" s="185"/>
      <c r="C2" s="185"/>
      <c r="D2" s="185"/>
      <c r="E2" s="185"/>
      <c r="F2" s="185"/>
      <c r="G2" s="186"/>
      <c r="H2" s="166" t="s">
        <v>126</v>
      </c>
      <c r="I2" s="167"/>
      <c r="J2" s="168"/>
    </row>
    <row r="3" spans="1:10" ht="15.75" x14ac:dyDescent="0.2">
      <c r="A3" s="196"/>
      <c r="B3" s="164" t="s">
        <v>235</v>
      </c>
      <c r="C3" s="164"/>
      <c r="D3" s="165"/>
      <c r="E3" s="173" t="s">
        <v>11</v>
      </c>
      <c r="F3" s="174"/>
      <c r="G3" s="175"/>
      <c r="H3" s="171" t="s">
        <v>30</v>
      </c>
      <c r="I3" s="172"/>
      <c r="J3" s="97">
        <f>BDI!I7</f>
        <v>0.217</v>
      </c>
    </row>
    <row r="4" spans="1:10" ht="15.75" x14ac:dyDescent="0.2">
      <c r="A4" s="196"/>
      <c r="B4" s="164" t="s">
        <v>237</v>
      </c>
      <c r="C4" s="164"/>
      <c r="D4" s="165"/>
      <c r="E4" s="176"/>
      <c r="F4" s="177"/>
      <c r="G4" s="178"/>
      <c r="H4" s="200" t="s">
        <v>265</v>
      </c>
      <c r="I4" s="201"/>
      <c r="J4" s="202"/>
    </row>
    <row r="5" spans="1:10" ht="16.5" thickBot="1" x14ac:dyDescent="0.25">
      <c r="A5" s="197"/>
      <c r="B5" s="203" t="s">
        <v>236</v>
      </c>
      <c r="C5" s="203"/>
      <c r="D5" s="204"/>
      <c r="E5" s="179"/>
      <c r="F5" s="180"/>
      <c r="G5" s="181"/>
      <c r="H5" s="190" t="s">
        <v>10</v>
      </c>
      <c r="I5" s="191"/>
      <c r="J5" s="192"/>
    </row>
    <row r="6" spans="1:10" ht="15.75" x14ac:dyDescent="0.25">
      <c r="A6" s="189"/>
      <c r="B6" s="187" t="s">
        <v>1</v>
      </c>
      <c r="C6" s="187" t="s">
        <v>2</v>
      </c>
      <c r="D6" s="187" t="s">
        <v>3</v>
      </c>
      <c r="E6" s="187" t="s">
        <v>0</v>
      </c>
      <c r="F6" s="193" t="s">
        <v>4</v>
      </c>
      <c r="G6" s="169" t="s">
        <v>5</v>
      </c>
      <c r="H6" s="170"/>
      <c r="I6" s="169" t="s">
        <v>102</v>
      </c>
      <c r="J6" s="170"/>
    </row>
    <row r="7" spans="1:10" ht="16.5" thickBot="1" x14ac:dyDescent="0.3">
      <c r="A7" s="189"/>
      <c r="B7" s="188"/>
      <c r="C7" s="188"/>
      <c r="D7" s="188"/>
      <c r="E7" s="188"/>
      <c r="F7" s="194"/>
      <c r="G7" s="139" t="s">
        <v>6</v>
      </c>
      <c r="H7" s="140" t="s">
        <v>7</v>
      </c>
      <c r="I7" s="139" t="s">
        <v>6</v>
      </c>
      <c r="J7" s="140" t="s">
        <v>7</v>
      </c>
    </row>
    <row r="8" spans="1:10" s="141" customFormat="1" ht="16.5" thickBot="1" x14ac:dyDescent="0.25">
      <c r="A8" s="98">
        <v>1</v>
      </c>
      <c r="B8" s="182" t="s">
        <v>22</v>
      </c>
      <c r="C8" s="182"/>
      <c r="D8" s="182"/>
      <c r="E8" s="182"/>
      <c r="F8" s="182"/>
      <c r="G8" s="182"/>
      <c r="H8" s="99">
        <f>SUM(H9:H13)</f>
        <v>26085.047040000001</v>
      </c>
      <c r="I8" s="100"/>
      <c r="J8" s="101">
        <f>SUM(J9:J13)</f>
        <v>31745.50224768</v>
      </c>
    </row>
    <row r="9" spans="1:10" s="141" customFormat="1" ht="60" x14ac:dyDescent="0.2">
      <c r="A9" s="102" t="s">
        <v>28</v>
      </c>
      <c r="B9" s="103" t="s">
        <v>27</v>
      </c>
      <c r="C9" s="104" t="s">
        <v>26</v>
      </c>
      <c r="D9" s="105" t="s">
        <v>38</v>
      </c>
      <c r="E9" s="103" t="s">
        <v>45</v>
      </c>
      <c r="F9" s="106">
        <f>'memória de cálculo'!J9</f>
        <v>4.5</v>
      </c>
      <c r="G9" s="107">
        <v>315.39</v>
      </c>
      <c r="H9" s="108">
        <f t="shared" ref="H9:H12" si="0">F9*G9</f>
        <v>1419.2549999999999</v>
      </c>
      <c r="I9" s="108">
        <f>($G9*$J$3+$G9)</f>
        <v>383.82962999999995</v>
      </c>
      <c r="J9" s="142">
        <f>(F9*I9)</f>
        <v>1727.2333349999999</v>
      </c>
    </row>
    <row r="10" spans="1:10" s="141" customFormat="1" ht="15.75" x14ac:dyDescent="0.2">
      <c r="A10" s="109" t="s">
        <v>28</v>
      </c>
      <c r="B10" s="110" t="s">
        <v>50</v>
      </c>
      <c r="C10" s="111" t="s">
        <v>54</v>
      </c>
      <c r="D10" s="112" t="s">
        <v>67</v>
      </c>
      <c r="E10" s="110" t="s">
        <v>51</v>
      </c>
      <c r="F10" s="113">
        <f>'memória de cálculo'!J10</f>
        <v>1</v>
      </c>
      <c r="G10" s="114">
        <f>96.62+97.58</f>
        <v>194.2</v>
      </c>
      <c r="H10" s="115">
        <f t="shared" si="0"/>
        <v>194.2</v>
      </c>
      <c r="I10" s="115">
        <f t="shared" ref="I10:I13" si="1">($G10*$J$3+$G10)</f>
        <v>236.34139999999999</v>
      </c>
      <c r="J10" s="143">
        <f t="shared" ref="J10:J12" si="2">(F10*I10)</f>
        <v>236.34139999999999</v>
      </c>
    </row>
    <row r="11" spans="1:10" s="141" customFormat="1" ht="30" x14ac:dyDescent="0.2">
      <c r="A11" s="109" t="s">
        <v>28</v>
      </c>
      <c r="B11" s="110" t="s">
        <v>57</v>
      </c>
      <c r="C11" s="111" t="s">
        <v>55</v>
      </c>
      <c r="D11" s="112" t="s">
        <v>56</v>
      </c>
      <c r="E11" s="110" t="s">
        <v>58</v>
      </c>
      <c r="F11" s="113">
        <f>'memória de cálculo'!J11</f>
        <v>4</v>
      </c>
      <c r="G11" s="114">
        <v>689.47</v>
      </c>
      <c r="H11" s="115">
        <f t="shared" si="0"/>
        <v>2757.88</v>
      </c>
      <c r="I11" s="115">
        <f t="shared" si="1"/>
        <v>839.08499000000006</v>
      </c>
      <c r="J11" s="143">
        <f t="shared" si="2"/>
        <v>3356.3399600000002</v>
      </c>
    </row>
    <row r="12" spans="1:10" s="141" customFormat="1" ht="30" x14ac:dyDescent="0.2">
      <c r="A12" s="109" t="s">
        <v>28</v>
      </c>
      <c r="B12" s="110" t="s">
        <v>60</v>
      </c>
      <c r="C12" s="111" t="s">
        <v>61</v>
      </c>
      <c r="D12" s="112" t="s">
        <v>59</v>
      </c>
      <c r="E12" s="110" t="s">
        <v>53</v>
      </c>
      <c r="F12" s="113">
        <f>'memória de cálculo'!J12</f>
        <v>2</v>
      </c>
      <c r="G12" s="114">
        <v>649.44000000000005</v>
      </c>
      <c r="H12" s="115">
        <f t="shared" si="0"/>
        <v>1298.8800000000001</v>
      </c>
      <c r="I12" s="115">
        <f t="shared" si="1"/>
        <v>790.36848000000009</v>
      </c>
      <c r="J12" s="143">
        <f t="shared" si="2"/>
        <v>1580.7369600000002</v>
      </c>
    </row>
    <row r="13" spans="1:10" s="141" customFormat="1" ht="30" x14ac:dyDescent="0.2">
      <c r="A13" s="109" t="s">
        <v>28</v>
      </c>
      <c r="B13" s="110" t="s">
        <v>282</v>
      </c>
      <c r="C13" s="111" t="s">
        <v>262</v>
      </c>
      <c r="D13" s="112" t="s">
        <v>281</v>
      </c>
      <c r="E13" s="110" t="s">
        <v>52</v>
      </c>
      <c r="F13" s="113">
        <f>'memória de cálculo'!J13</f>
        <v>84.317000000000007</v>
      </c>
      <c r="G13" s="114">
        <v>242.12</v>
      </c>
      <c r="H13" s="115">
        <f t="shared" ref="H13:H14" si="3">F13*G13</f>
        <v>20414.832040000001</v>
      </c>
      <c r="I13" s="115">
        <f t="shared" si="1"/>
        <v>294.66003999999998</v>
      </c>
      <c r="J13" s="143">
        <f t="shared" ref="J13" si="4">(F13*I13)</f>
        <v>24844.850592679999</v>
      </c>
    </row>
    <row r="14" spans="1:10" s="141" customFormat="1" ht="30.75" thickBot="1" x14ac:dyDescent="0.25">
      <c r="A14" s="109" t="s">
        <v>107</v>
      </c>
      <c r="B14" s="110" t="s">
        <v>274</v>
      </c>
      <c r="C14" s="111" t="s">
        <v>283</v>
      </c>
      <c r="D14" s="118" t="s">
        <v>273</v>
      </c>
      <c r="E14" s="110" t="s">
        <v>272</v>
      </c>
      <c r="F14" s="113">
        <f>'memória de cálculo'!J14</f>
        <v>1686.3400000000001</v>
      </c>
      <c r="G14" s="115">
        <v>2.0499999999999998</v>
      </c>
      <c r="H14" s="115">
        <f t="shared" si="3"/>
        <v>3456.9969999999998</v>
      </c>
      <c r="I14" s="115">
        <f t="shared" ref="I14" si="5">ROUNDDOWN($G14*$J$3+$G14,2)</f>
        <v>2.4900000000000002</v>
      </c>
      <c r="J14" s="143">
        <f t="shared" ref="J14" si="6">F14*I14</f>
        <v>4198.9866000000011</v>
      </c>
    </row>
    <row r="15" spans="1:10" s="144" customFormat="1" ht="16.5" thickBot="1" x14ac:dyDescent="0.25">
      <c r="A15" s="98">
        <v>2</v>
      </c>
      <c r="B15" s="182" t="s">
        <v>129</v>
      </c>
      <c r="C15" s="182"/>
      <c r="D15" s="182"/>
      <c r="E15" s="182"/>
      <c r="F15" s="182"/>
      <c r="G15" s="182"/>
      <c r="H15" s="99">
        <f>SUM(H16:H26)</f>
        <v>640028.36932000006</v>
      </c>
      <c r="I15" s="100"/>
      <c r="J15" s="101">
        <f>SUM(J16:J26)</f>
        <v>778903.52024413983</v>
      </c>
    </row>
    <row r="16" spans="1:10" s="145" customFormat="1" ht="30" x14ac:dyDescent="0.2">
      <c r="A16" s="102" t="s">
        <v>28</v>
      </c>
      <c r="B16" s="103" t="s">
        <v>131</v>
      </c>
      <c r="C16" s="104" t="s">
        <v>43</v>
      </c>
      <c r="D16" s="116" t="s">
        <v>130</v>
      </c>
      <c r="E16" s="103" t="s">
        <v>53</v>
      </c>
      <c r="F16" s="106">
        <f>'memória de cálculo'!J16</f>
        <v>1</v>
      </c>
      <c r="G16" s="117">
        <v>5004.1400000000003</v>
      </c>
      <c r="H16" s="108">
        <f>F16*G16</f>
        <v>5004.1400000000003</v>
      </c>
      <c r="I16" s="108">
        <f>($G16*$J$3+$G16)</f>
        <v>6090.03838</v>
      </c>
      <c r="J16" s="142">
        <f>(F16*I16)</f>
        <v>6090.03838</v>
      </c>
    </row>
    <row r="17" spans="1:10" s="141" customFormat="1" ht="15.75" x14ac:dyDescent="0.2">
      <c r="A17" s="109" t="s">
        <v>28</v>
      </c>
      <c r="B17" s="110" t="s">
        <v>133</v>
      </c>
      <c r="C17" s="104" t="s">
        <v>103</v>
      </c>
      <c r="D17" s="118" t="s">
        <v>132</v>
      </c>
      <c r="E17" s="110" t="s">
        <v>44</v>
      </c>
      <c r="F17" s="113">
        <f>'memória de cálculo'!J17</f>
        <v>418</v>
      </c>
      <c r="G17" s="119">
        <v>47.25</v>
      </c>
      <c r="H17" s="115">
        <f>F17*G17</f>
        <v>19750.5</v>
      </c>
      <c r="I17" s="115">
        <f>($G17*$J$3+$G17)</f>
        <v>57.503250000000001</v>
      </c>
      <c r="J17" s="143">
        <f>(F17*I17)</f>
        <v>24036.358500000002</v>
      </c>
    </row>
    <row r="18" spans="1:10" s="141" customFormat="1" ht="15.75" x14ac:dyDescent="0.2">
      <c r="A18" s="109" t="s">
        <v>28</v>
      </c>
      <c r="B18" s="110" t="s">
        <v>135</v>
      </c>
      <c r="C18" s="104" t="s">
        <v>106</v>
      </c>
      <c r="D18" s="120" t="s">
        <v>134</v>
      </c>
      <c r="E18" s="110" t="s">
        <v>52</v>
      </c>
      <c r="F18" s="113">
        <f>'memória de cálculo'!J18</f>
        <v>115</v>
      </c>
      <c r="G18" s="115">
        <v>327</v>
      </c>
      <c r="H18" s="115">
        <f t="shared" ref="H18:H20" si="7">F18*G18</f>
        <v>37605</v>
      </c>
      <c r="I18" s="115">
        <f t="shared" ref="I18:I23" si="8">($G18*$J$3+$G18)</f>
        <v>397.959</v>
      </c>
      <c r="J18" s="143">
        <f t="shared" ref="J18:J20" si="9">F18*I18</f>
        <v>45765.285000000003</v>
      </c>
    </row>
    <row r="19" spans="1:10" s="141" customFormat="1" ht="30" x14ac:dyDescent="0.2">
      <c r="A19" s="109" t="s">
        <v>28</v>
      </c>
      <c r="B19" s="110" t="s">
        <v>137</v>
      </c>
      <c r="C19" s="104" t="s">
        <v>108</v>
      </c>
      <c r="D19" s="120" t="s">
        <v>136</v>
      </c>
      <c r="E19" s="110" t="s">
        <v>45</v>
      </c>
      <c r="F19" s="113">
        <f>'memória de cálculo'!J19</f>
        <v>295.49</v>
      </c>
      <c r="G19" s="115">
        <v>114.61</v>
      </c>
      <c r="H19" s="115">
        <f t="shared" si="7"/>
        <v>33866.108899999999</v>
      </c>
      <c r="I19" s="115">
        <f t="shared" si="8"/>
        <v>139.48036999999999</v>
      </c>
      <c r="J19" s="143">
        <f t="shared" si="9"/>
        <v>41215.054531299997</v>
      </c>
    </row>
    <row r="20" spans="1:10" s="141" customFormat="1" ht="15.75" x14ac:dyDescent="0.2">
      <c r="A20" s="121" t="s">
        <v>28</v>
      </c>
      <c r="B20" s="122" t="s">
        <v>139</v>
      </c>
      <c r="C20" s="104" t="s">
        <v>109</v>
      </c>
      <c r="D20" s="123" t="s">
        <v>138</v>
      </c>
      <c r="E20" s="122" t="s">
        <v>140</v>
      </c>
      <c r="F20" s="113">
        <f>'memória de cálculo'!J20</f>
        <v>16782.294000000002</v>
      </c>
      <c r="G20" s="146">
        <v>13.88</v>
      </c>
      <c r="H20" s="146">
        <f t="shared" si="7"/>
        <v>232938.24072000003</v>
      </c>
      <c r="I20" s="146">
        <f t="shared" si="8"/>
        <v>16.891960000000001</v>
      </c>
      <c r="J20" s="147">
        <f t="shared" si="9"/>
        <v>283485.83895624004</v>
      </c>
    </row>
    <row r="21" spans="1:10" s="141" customFormat="1" ht="15.75" x14ac:dyDescent="0.2">
      <c r="A21" s="121" t="s">
        <v>28</v>
      </c>
      <c r="B21" s="122" t="s">
        <v>139</v>
      </c>
      <c r="C21" s="104" t="s">
        <v>143</v>
      </c>
      <c r="D21" s="123" t="s">
        <v>269</v>
      </c>
      <c r="E21" s="122" t="s">
        <v>52</v>
      </c>
      <c r="F21" s="113">
        <f>'memória de cálculo'!J21</f>
        <v>208.14</v>
      </c>
      <c r="G21" s="146">
        <v>726.06</v>
      </c>
      <c r="H21" s="146">
        <f t="shared" ref="H21" si="10">F21*G21</f>
        <v>151122.12839999999</v>
      </c>
      <c r="I21" s="146">
        <f t="shared" si="8"/>
        <v>883.61501999999996</v>
      </c>
      <c r="J21" s="147">
        <f t="shared" ref="J21" si="11">F21*I21</f>
        <v>183915.63026279997</v>
      </c>
    </row>
    <row r="22" spans="1:10" s="141" customFormat="1" ht="30" x14ac:dyDescent="0.2">
      <c r="A22" s="109" t="s">
        <v>28</v>
      </c>
      <c r="B22" s="110" t="s">
        <v>264</v>
      </c>
      <c r="C22" s="104" t="s">
        <v>144</v>
      </c>
      <c r="D22" s="118" t="s">
        <v>263</v>
      </c>
      <c r="E22" s="110" t="s">
        <v>45</v>
      </c>
      <c r="F22" s="113">
        <f>'memória de cálculo'!J22</f>
        <v>222.00000000000006</v>
      </c>
      <c r="G22" s="119">
        <v>262.49</v>
      </c>
      <c r="H22" s="115">
        <f>F22*G22</f>
        <v>58272.780000000013</v>
      </c>
      <c r="I22" s="115">
        <f>($G22*$J$3+$G22)</f>
        <v>319.45033000000001</v>
      </c>
      <c r="J22" s="143">
        <f>(F22*I22)</f>
        <v>70917.973260000013</v>
      </c>
    </row>
    <row r="23" spans="1:10" s="141" customFormat="1" ht="30" x14ac:dyDescent="0.2">
      <c r="A23" s="121" t="s">
        <v>28</v>
      </c>
      <c r="B23" s="122" t="s">
        <v>142</v>
      </c>
      <c r="C23" s="104" t="s">
        <v>145</v>
      </c>
      <c r="D23" s="123" t="s">
        <v>141</v>
      </c>
      <c r="E23" s="122" t="s">
        <v>45</v>
      </c>
      <c r="F23" s="113">
        <f>'memória de cálculo'!J23</f>
        <v>928.74</v>
      </c>
      <c r="G23" s="146">
        <v>66.61</v>
      </c>
      <c r="H23" s="146">
        <f t="shared" ref="H23" si="12">F23*G23</f>
        <v>61863.371400000004</v>
      </c>
      <c r="I23" s="146">
        <f t="shared" si="8"/>
        <v>81.064369999999997</v>
      </c>
      <c r="J23" s="147">
        <f t="shared" ref="J23" si="13">F23*I23</f>
        <v>75287.722993799995</v>
      </c>
    </row>
    <row r="24" spans="1:10" s="141" customFormat="1" ht="30" x14ac:dyDescent="0.2">
      <c r="A24" s="109" t="s">
        <v>107</v>
      </c>
      <c r="B24" s="110" t="s">
        <v>148</v>
      </c>
      <c r="C24" s="104" t="s">
        <v>146</v>
      </c>
      <c r="D24" s="118" t="s">
        <v>147</v>
      </c>
      <c r="E24" s="110" t="s">
        <v>52</v>
      </c>
      <c r="F24" s="113">
        <f>'memória de cálculo'!J24</f>
        <v>92.874000000000009</v>
      </c>
      <c r="G24" s="115">
        <v>140.05000000000001</v>
      </c>
      <c r="H24" s="115">
        <f t="shared" ref="H24:H31" si="14">F24*G24</f>
        <v>13007.003700000003</v>
      </c>
      <c r="I24" s="115">
        <f t="shared" ref="I24:I37" si="15">ROUNDDOWN($G24*$J$3+$G24,2)</f>
        <v>170.44</v>
      </c>
      <c r="J24" s="143">
        <f t="shared" ref="J24:J31" si="16">F24*I24</f>
        <v>15829.444560000002</v>
      </c>
    </row>
    <row r="25" spans="1:10" s="141" customFormat="1" ht="30" x14ac:dyDescent="0.2">
      <c r="A25" s="109" t="s">
        <v>107</v>
      </c>
      <c r="B25" s="110" t="s">
        <v>274</v>
      </c>
      <c r="C25" s="104" t="s">
        <v>268</v>
      </c>
      <c r="D25" s="118" t="s">
        <v>273</v>
      </c>
      <c r="E25" s="110" t="s">
        <v>272</v>
      </c>
      <c r="F25" s="113">
        <f>'memória de cálculo'!J25</f>
        <v>1857.4800000000002</v>
      </c>
      <c r="G25" s="115">
        <v>2.0499999999999998</v>
      </c>
      <c r="H25" s="115">
        <f t="shared" ref="H25" si="17">F25*G25</f>
        <v>3807.8340000000003</v>
      </c>
      <c r="I25" s="115">
        <f t="shared" si="15"/>
        <v>2.4900000000000002</v>
      </c>
      <c r="J25" s="143">
        <f t="shared" ref="J25" si="18">F25*I25</f>
        <v>4625.1252000000013</v>
      </c>
    </row>
    <row r="26" spans="1:10" s="141" customFormat="1" ht="16.5" thickBot="1" x14ac:dyDescent="0.25">
      <c r="A26" s="109" t="s">
        <v>107</v>
      </c>
      <c r="B26" s="110" t="s">
        <v>150</v>
      </c>
      <c r="C26" s="104" t="s">
        <v>275</v>
      </c>
      <c r="D26" s="118" t="s">
        <v>149</v>
      </c>
      <c r="E26" s="110" t="s">
        <v>52</v>
      </c>
      <c r="F26" s="113">
        <f>'memória de cálculo'!J26</f>
        <v>508.62</v>
      </c>
      <c r="G26" s="115">
        <v>44.81</v>
      </c>
      <c r="H26" s="115">
        <f t="shared" si="14"/>
        <v>22791.262200000001</v>
      </c>
      <c r="I26" s="115">
        <f t="shared" si="15"/>
        <v>54.53</v>
      </c>
      <c r="J26" s="143">
        <f t="shared" si="16"/>
        <v>27735.048600000002</v>
      </c>
    </row>
    <row r="27" spans="1:10" s="144" customFormat="1" ht="16.5" thickBot="1" x14ac:dyDescent="0.25">
      <c r="A27" s="98">
        <v>3</v>
      </c>
      <c r="B27" s="182" t="s">
        <v>151</v>
      </c>
      <c r="C27" s="182"/>
      <c r="D27" s="182"/>
      <c r="E27" s="182"/>
      <c r="F27" s="182"/>
      <c r="G27" s="182"/>
      <c r="H27" s="99">
        <f>SUM(H28:H37)</f>
        <v>92312.877500000002</v>
      </c>
      <c r="I27" s="100"/>
      <c r="J27" s="101">
        <f>SUM(J28:J37)</f>
        <v>112341.55</v>
      </c>
    </row>
    <row r="28" spans="1:10" s="141" customFormat="1" ht="15.75" x14ac:dyDescent="0.2">
      <c r="A28" s="109" t="s">
        <v>107</v>
      </c>
      <c r="B28" s="110" t="s">
        <v>278</v>
      </c>
      <c r="C28" s="111" t="s">
        <v>23</v>
      </c>
      <c r="D28" s="118" t="s">
        <v>277</v>
      </c>
      <c r="E28" s="110" t="s">
        <v>154</v>
      </c>
      <c r="F28" s="113">
        <f>'memória de cálculo'!J28</f>
        <v>2</v>
      </c>
      <c r="G28" s="115">
        <v>1981.75</v>
      </c>
      <c r="H28" s="115">
        <f t="shared" ref="H28" si="19">F28*G28</f>
        <v>3963.5</v>
      </c>
      <c r="I28" s="115">
        <f t="shared" si="15"/>
        <v>2411.7800000000002</v>
      </c>
      <c r="J28" s="143">
        <f t="shared" ref="J28" si="20">F28*I28</f>
        <v>4823.5600000000004</v>
      </c>
    </row>
    <row r="29" spans="1:10" s="141" customFormat="1" ht="15.75" x14ac:dyDescent="0.2">
      <c r="A29" s="109" t="s">
        <v>107</v>
      </c>
      <c r="B29" s="110" t="s">
        <v>153</v>
      </c>
      <c r="C29" s="111" t="s">
        <v>24</v>
      </c>
      <c r="D29" s="118" t="s">
        <v>152</v>
      </c>
      <c r="E29" s="110" t="s">
        <v>154</v>
      </c>
      <c r="F29" s="106">
        <f>'memória de cálculo'!J29</f>
        <v>1</v>
      </c>
      <c r="G29" s="115">
        <v>1256.2</v>
      </c>
      <c r="H29" s="115">
        <f t="shared" ref="H29:H30" si="21">F29*G29</f>
        <v>1256.2</v>
      </c>
      <c r="I29" s="115">
        <f t="shared" si="15"/>
        <v>1528.79</v>
      </c>
      <c r="J29" s="143">
        <f t="shared" ref="J29:J30" si="22">F29*I29</f>
        <v>1528.79</v>
      </c>
    </row>
    <row r="30" spans="1:10" s="141" customFormat="1" ht="15.75" x14ac:dyDescent="0.2">
      <c r="A30" s="109" t="s">
        <v>107</v>
      </c>
      <c r="B30" s="110" t="s">
        <v>156</v>
      </c>
      <c r="C30" s="111" t="s">
        <v>40</v>
      </c>
      <c r="D30" s="118" t="s">
        <v>155</v>
      </c>
      <c r="E30" s="110" t="s">
        <v>154</v>
      </c>
      <c r="F30" s="113">
        <f>'memória de cálculo'!J30</f>
        <v>4</v>
      </c>
      <c r="G30" s="115">
        <v>2184.81</v>
      </c>
      <c r="H30" s="115">
        <f t="shared" si="21"/>
        <v>8739.24</v>
      </c>
      <c r="I30" s="115">
        <f t="shared" si="15"/>
        <v>2658.91</v>
      </c>
      <c r="J30" s="143">
        <f t="shared" si="22"/>
        <v>10635.64</v>
      </c>
    </row>
    <row r="31" spans="1:10" s="141" customFormat="1" ht="15.75" x14ac:dyDescent="0.2">
      <c r="A31" s="109" t="s">
        <v>107</v>
      </c>
      <c r="B31" s="110" t="s">
        <v>160</v>
      </c>
      <c r="C31" s="111" t="s">
        <v>116</v>
      </c>
      <c r="D31" s="118" t="s">
        <v>159</v>
      </c>
      <c r="E31" s="110" t="s">
        <v>44</v>
      </c>
      <c r="F31" s="113">
        <f>'memória de cálculo'!J31</f>
        <v>113</v>
      </c>
      <c r="G31" s="115">
        <v>93.52</v>
      </c>
      <c r="H31" s="115">
        <f t="shared" si="14"/>
        <v>10567.76</v>
      </c>
      <c r="I31" s="115">
        <f t="shared" si="15"/>
        <v>113.81</v>
      </c>
      <c r="J31" s="143">
        <f t="shared" si="16"/>
        <v>12860.53</v>
      </c>
    </row>
    <row r="32" spans="1:10" s="141" customFormat="1" ht="15.75" x14ac:dyDescent="0.2">
      <c r="A32" s="121" t="s">
        <v>107</v>
      </c>
      <c r="B32" s="122" t="s">
        <v>162</v>
      </c>
      <c r="C32" s="111" t="s">
        <v>117</v>
      </c>
      <c r="D32" s="118" t="s">
        <v>161</v>
      </c>
      <c r="E32" s="110" t="s">
        <v>44</v>
      </c>
      <c r="F32" s="113">
        <f>'memória de cálculo'!J32</f>
        <v>12</v>
      </c>
      <c r="G32" s="115">
        <v>106.21</v>
      </c>
      <c r="H32" s="146">
        <f t="shared" ref="H32" si="23">F32*G32</f>
        <v>1274.52</v>
      </c>
      <c r="I32" s="146">
        <f t="shared" si="15"/>
        <v>129.25</v>
      </c>
      <c r="J32" s="147">
        <f t="shared" ref="J32" si="24">F32*I32</f>
        <v>1551</v>
      </c>
    </row>
    <row r="33" spans="1:10" s="141" customFormat="1" ht="45" x14ac:dyDescent="0.2">
      <c r="A33" s="121" t="s">
        <v>107</v>
      </c>
      <c r="B33" s="122" t="s">
        <v>202</v>
      </c>
      <c r="C33" s="111" t="s">
        <v>118</v>
      </c>
      <c r="D33" s="118" t="s">
        <v>201</v>
      </c>
      <c r="E33" s="110" t="s">
        <v>44</v>
      </c>
      <c r="F33" s="113">
        <f>'memória de cálculo'!J33</f>
        <v>120</v>
      </c>
      <c r="G33" s="115">
        <v>386.26</v>
      </c>
      <c r="H33" s="146">
        <f t="shared" ref="H33:H34" si="25">F33*G33</f>
        <v>46351.199999999997</v>
      </c>
      <c r="I33" s="146">
        <f t="shared" si="15"/>
        <v>470.07</v>
      </c>
      <c r="J33" s="147">
        <f t="shared" ref="J33:J34" si="26">F33*I33</f>
        <v>56408.4</v>
      </c>
    </row>
    <row r="34" spans="1:10" s="141" customFormat="1" ht="30" x14ac:dyDescent="0.2">
      <c r="A34" s="121" t="s">
        <v>107</v>
      </c>
      <c r="B34" s="122" t="s">
        <v>164</v>
      </c>
      <c r="C34" s="111" t="s">
        <v>119</v>
      </c>
      <c r="D34" s="118" t="s">
        <v>163</v>
      </c>
      <c r="E34" s="110" t="s">
        <v>44</v>
      </c>
      <c r="F34" s="113">
        <f>'memória de cálculo'!J34</f>
        <v>145</v>
      </c>
      <c r="G34" s="115">
        <v>41.72</v>
      </c>
      <c r="H34" s="146">
        <f t="shared" si="25"/>
        <v>6049.4</v>
      </c>
      <c r="I34" s="146">
        <f t="shared" si="15"/>
        <v>50.77</v>
      </c>
      <c r="J34" s="147">
        <f t="shared" si="26"/>
        <v>7361.6500000000005</v>
      </c>
    </row>
    <row r="35" spans="1:10" s="141" customFormat="1" ht="30" x14ac:dyDescent="0.2">
      <c r="A35" s="121" t="s">
        <v>107</v>
      </c>
      <c r="B35" s="122" t="s">
        <v>194</v>
      </c>
      <c r="C35" s="111" t="s">
        <v>120</v>
      </c>
      <c r="D35" s="118" t="s">
        <v>193</v>
      </c>
      <c r="E35" s="110" t="s">
        <v>44</v>
      </c>
      <c r="F35" s="113">
        <f>'memória de cálculo'!J35</f>
        <v>163.25</v>
      </c>
      <c r="G35" s="115">
        <v>57.59</v>
      </c>
      <c r="H35" s="146">
        <f t="shared" ref="H35" si="27">F35*G35</f>
        <v>9401.567500000001</v>
      </c>
      <c r="I35" s="146">
        <f t="shared" si="15"/>
        <v>70.08</v>
      </c>
      <c r="J35" s="147">
        <f t="shared" ref="J35" si="28">F35*I35</f>
        <v>11440.56</v>
      </c>
    </row>
    <row r="36" spans="1:10" s="141" customFormat="1" ht="15.75" x14ac:dyDescent="0.2">
      <c r="A36" s="121" t="s">
        <v>107</v>
      </c>
      <c r="B36" s="122" t="s">
        <v>158</v>
      </c>
      <c r="C36" s="111" t="s">
        <v>121</v>
      </c>
      <c r="D36" s="118" t="s">
        <v>157</v>
      </c>
      <c r="E36" s="110" t="s">
        <v>154</v>
      </c>
      <c r="F36" s="113">
        <f>'memória de cálculo'!J36</f>
        <v>1</v>
      </c>
      <c r="G36" s="115">
        <v>1188.6400000000001</v>
      </c>
      <c r="H36" s="146">
        <f t="shared" ref="H36" si="29">F36*G36</f>
        <v>1188.6400000000001</v>
      </c>
      <c r="I36" s="146">
        <f t="shared" si="15"/>
        <v>1446.57</v>
      </c>
      <c r="J36" s="147">
        <f t="shared" ref="J36" si="30">F36*I36</f>
        <v>1446.57</v>
      </c>
    </row>
    <row r="37" spans="1:10" s="141" customFormat="1" ht="16.5" thickBot="1" x14ac:dyDescent="0.25">
      <c r="A37" s="121" t="s">
        <v>107</v>
      </c>
      <c r="B37" s="122" t="s">
        <v>166</v>
      </c>
      <c r="C37" s="111" t="s">
        <v>279</v>
      </c>
      <c r="D37" s="118" t="s">
        <v>165</v>
      </c>
      <c r="E37" s="110" t="s">
        <v>44</v>
      </c>
      <c r="F37" s="113">
        <f>'memória de cálculo'!J37</f>
        <v>5</v>
      </c>
      <c r="G37" s="115">
        <v>704.17</v>
      </c>
      <c r="H37" s="146">
        <f t="shared" ref="H37" si="31">F37*G37</f>
        <v>3520.85</v>
      </c>
      <c r="I37" s="146">
        <f t="shared" si="15"/>
        <v>856.97</v>
      </c>
      <c r="J37" s="147">
        <f t="shared" ref="J37" si="32">F37*I37</f>
        <v>4284.8500000000004</v>
      </c>
    </row>
    <row r="38" spans="1:10" s="144" customFormat="1" ht="16.5" thickBot="1" x14ac:dyDescent="0.25">
      <c r="A38" s="98">
        <v>4</v>
      </c>
      <c r="B38" s="182" t="s">
        <v>167</v>
      </c>
      <c r="C38" s="182"/>
      <c r="D38" s="182"/>
      <c r="E38" s="182"/>
      <c r="F38" s="182"/>
      <c r="G38" s="182"/>
      <c r="H38" s="124">
        <f>SUM(H39:H44)</f>
        <v>23332.38</v>
      </c>
      <c r="I38" s="100"/>
      <c r="J38" s="101">
        <f>SUM(J39:J44)</f>
        <v>28390.26</v>
      </c>
    </row>
    <row r="39" spans="1:10" s="141" customFormat="1" ht="15.75" x14ac:dyDescent="0.2">
      <c r="A39" s="109" t="s">
        <v>107</v>
      </c>
      <c r="B39" s="110" t="s">
        <v>169</v>
      </c>
      <c r="C39" s="111" t="s">
        <v>25</v>
      </c>
      <c r="D39" s="118" t="s">
        <v>168</v>
      </c>
      <c r="E39" s="110" t="s">
        <v>44</v>
      </c>
      <c r="F39" s="106">
        <f>'memória de cálculo'!J39</f>
        <v>480</v>
      </c>
      <c r="G39" s="115">
        <v>22.97</v>
      </c>
      <c r="H39" s="115">
        <f t="shared" ref="H39:H40" si="33">F39*G39</f>
        <v>11025.599999999999</v>
      </c>
      <c r="I39" s="115">
        <f t="shared" ref="I39:I47" si="34">ROUNDDOWN($G39*$J$3+$G39,2)</f>
        <v>27.95</v>
      </c>
      <c r="J39" s="143">
        <f t="shared" ref="J39:J40" si="35">F39*I39</f>
        <v>13416</v>
      </c>
    </row>
    <row r="40" spans="1:10" s="141" customFormat="1" ht="15.75" x14ac:dyDescent="0.2">
      <c r="A40" s="121" t="s">
        <v>107</v>
      </c>
      <c r="B40" s="122" t="s">
        <v>171</v>
      </c>
      <c r="C40" s="111" t="s">
        <v>222</v>
      </c>
      <c r="D40" s="118" t="s">
        <v>170</v>
      </c>
      <c r="E40" s="110" t="s">
        <v>44</v>
      </c>
      <c r="F40" s="113">
        <f>'memória de cálculo'!J40</f>
        <v>300</v>
      </c>
      <c r="G40" s="115">
        <v>5.0199999999999996</v>
      </c>
      <c r="H40" s="146">
        <f t="shared" si="33"/>
        <v>1505.9999999999998</v>
      </c>
      <c r="I40" s="146">
        <f t="shared" si="34"/>
        <v>6.1</v>
      </c>
      <c r="J40" s="147">
        <f t="shared" si="35"/>
        <v>1830</v>
      </c>
    </row>
    <row r="41" spans="1:10" s="141" customFormat="1" ht="15.75" x14ac:dyDescent="0.2">
      <c r="A41" s="121" t="s">
        <v>107</v>
      </c>
      <c r="B41" s="122" t="s">
        <v>172</v>
      </c>
      <c r="C41" s="111" t="s">
        <v>225</v>
      </c>
      <c r="D41" s="118" t="s">
        <v>253</v>
      </c>
      <c r="E41" s="110" t="s">
        <v>44</v>
      </c>
      <c r="F41" s="113">
        <f>'memória de cálculo'!J41</f>
        <v>50</v>
      </c>
      <c r="G41" s="115">
        <v>13.23</v>
      </c>
      <c r="H41" s="146">
        <f t="shared" ref="H41:H42" si="36">F41*G41</f>
        <v>661.5</v>
      </c>
      <c r="I41" s="146">
        <f t="shared" si="34"/>
        <v>16.100000000000001</v>
      </c>
      <c r="J41" s="147">
        <f t="shared" ref="J41:J42" si="37">F41*I41</f>
        <v>805.00000000000011</v>
      </c>
    </row>
    <row r="42" spans="1:10" s="141" customFormat="1" ht="15.75" x14ac:dyDescent="0.2">
      <c r="A42" s="121" t="s">
        <v>107</v>
      </c>
      <c r="B42" s="122" t="s">
        <v>174</v>
      </c>
      <c r="C42" s="111" t="s">
        <v>223</v>
      </c>
      <c r="D42" s="118" t="s">
        <v>173</v>
      </c>
      <c r="E42" s="110" t="s">
        <v>154</v>
      </c>
      <c r="F42" s="113">
        <f>'memória de cálculo'!J42</f>
        <v>7</v>
      </c>
      <c r="G42" s="115">
        <v>190.72</v>
      </c>
      <c r="H42" s="146">
        <f t="shared" si="36"/>
        <v>1335.04</v>
      </c>
      <c r="I42" s="146">
        <f t="shared" si="34"/>
        <v>232.1</v>
      </c>
      <c r="J42" s="147">
        <f t="shared" si="37"/>
        <v>1624.7</v>
      </c>
    </row>
    <row r="43" spans="1:10" s="141" customFormat="1" ht="30" x14ac:dyDescent="0.2">
      <c r="A43" s="121" t="s">
        <v>107</v>
      </c>
      <c r="B43" s="122" t="s">
        <v>176</v>
      </c>
      <c r="C43" s="111" t="s">
        <v>224</v>
      </c>
      <c r="D43" s="118" t="s">
        <v>175</v>
      </c>
      <c r="E43" s="110" t="s">
        <v>53</v>
      </c>
      <c r="F43" s="113">
        <f>'memória de cálculo'!J43</f>
        <v>8</v>
      </c>
      <c r="G43" s="115">
        <v>339.13</v>
      </c>
      <c r="H43" s="146">
        <f t="shared" ref="H43:H44" si="38">F43*G43</f>
        <v>2713.04</v>
      </c>
      <c r="I43" s="146">
        <f t="shared" si="34"/>
        <v>412.72</v>
      </c>
      <c r="J43" s="147">
        <f t="shared" ref="J43:J44" si="39">F43*I43</f>
        <v>3301.76</v>
      </c>
    </row>
    <row r="44" spans="1:10" s="141" customFormat="1" ht="16.5" thickBot="1" x14ac:dyDescent="0.25">
      <c r="A44" s="121" t="s">
        <v>107</v>
      </c>
      <c r="B44" s="122" t="s">
        <v>178</v>
      </c>
      <c r="C44" s="111" t="s">
        <v>226</v>
      </c>
      <c r="D44" s="118" t="s">
        <v>177</v>
      </c>
      <c r="E44" s="110" t="s">
        <v>44</v>
      </c>
      <c r="F44" s="113">
        <f>'memória de cálculo'!J44</f>
        <v>160</v>
      </c>
      <c r="G44" s="115">
        <v>38.07</v>
      </c>
      <c r="H44" s="146">
        <f t="shared" si="38"/>
        <v>6091.2</v>
      </c>
      <c r="I44" s="146">
        <f t="shared" si="34"/>
        <v>46.33</v>
      </c>
      <c r="J44" s="147">
        <f t="shared" si="39"/>
        <v>7412.7999999999993</v>
      </c>
    </row>
    <row r="45" spans="1:10" s="144" customFormat="1" ht="16.5" thickBot="1" x14ac:dyDescent="0.25">
      <c r="A45" s="98">
        <v>5</v>
      </c>
      <c r="B45" s="161" t="s">
        <v>179</v>
      </c>
      <c r="C45" s="162"/>
      <c r="D45" s="162"/>
      <c r="E45" s="162"/>
      <c r="F45" s="162"/>
      <c r="G45" s="163"/>
      <c r="H45" s="124">
        <f>SUM(H46:H49)</f>
        <v>98304.901799999992</v>
      </c>
      <c r="I45" s="100"/>
      <c r="J45" s="101">
        <f>SUM(J46:J49)</f>
        <v>119626.14402059997</v>
      </c>
    </row>
    <row r="46" spans="1:10" s="141" customFormat="1" ht="15.75" x14ac:dyDescent="0.2">
      <c r="A46" s="125" t="s">
        <v>107</v>
      </c>
      <c r="B46" s="126" t="s">
        <v>181</v>
      </c>
      <c r="C46" s="127" t="s">
        <v>31</v>
      </c>
      <c r="D46" s="128" t="s">
        <v>180</v>
      </c>
      <c r="E46" s="126" t="s">
        <v>45</v>
      </c>
      <c r="F46" s="106">
        <f>'memória de cálculo'!J46</f>
        <v>833.69999999999993</v>
      </c>
      <c r="G46" s="148">
        <v>3.06</v>
      </c>
      <c r="H46" s="148">
        <f t="shared" ref="H46:H47" si="40">F46*G46</f>
        <v>2551.1219999999998</v>
      </c>
      <c r="I46" s="148">
        <f t="shared" si="34"/>
        <v>3.72</v>
      </c>
      <c r="J46" s="149">
        <f t="shared" ref="J46:J47" si="41">F46*I46</f>
        <v>3101.364</v>
      </c>
    </row>
    <row r="47" spans="1:10" s="141" customFormat="1" ht="15.75" x14ac:dyDescent="0.2">
      <c r="A47" s="109" t="s">
        <v>107</v>
      </c>
      <c r="B47" s="110" t="s">
        <v>182</v>
      </c>
      <c r="C47" s="111" t="s">
        <v>41</v>
      </c>
      <c r="D47" s="118" t="s">
        <v>183</v>
      </c>
      <c r="E47" s="110" t="s">
        <v>45</v>
      </c>
      <c r="F47" s="113">
        <f>'memória de cálculo'!J47</f>
        <v>833.69999999999993</v>
      </c>
      <c r="G47" s="115">
        <v>1.24</v>
      </c>
      <c r="H47" s="115">
        <f t="shared" si="40"/>
        <v>1033.788</v>
      </c>
      <c r="I47" s="115">
        <f t="shared" si="34"/>
        <v>1.5</v>
      </c>
      <c r="J47" s="143">
        <f t="shared" si="41"/>
        <v>1250.55</v>
      </c>
    </row>
    <row r="48" spans="1:10" s="141" customFormat="1" ht="30" x14ac:dyDescent="0.2">
      <c r="A48" s="109" t="s">
        <v>107</v>
      </c>
      <c r="B48" s="110" t="s">
        <v>184</v>
      </c>
      <c r="C48" s="111" t="s">
        <v>127</v>
      </c>
      <c r="D48" s="118" t="s">
        <v>185</v>
      </c>
      <c r="E48" s="110" t="s">
        <v>52</v>
      </c>
      <c r="F48" s="113">
        <f>'memória de cálculo'!J48</f>
        <v>166.74</v>
      </c>
      <c r="G48" s="115">
        <v>22.97</v>
      </c>
      <c r="H48" s="115">
        <f>F48*G48</f>
        <v>3830.0178000000001</v>
      </c>
      <c r="I48" s="115">
        <f>($G48*$J$3+$G48)</f>
        <v>27.95449</v>
      </c>
      <c r="J48" s="143">
        <f>(F48*I48)</f>
        <v>4661.1316625999998</v>
      </c>
    </row>
    <row r="49" spans="1:10" s="141" customFormat="1" ht="30.75" thickBot="1" x14ac:dyDescent="0.25">
      <c r="A49" s="109" t="s">
        <v>107</v>
      </c>
      <c r="B49" s="110" t="s">
        <v>187</v>
      </c>
      <c r="C49" s="111" t="s">
        <v>128</v>
      </c>
      <c r="D49" s="118" t="s">
        <v>186</v>
      </c>
      <c r="E49" s="110" t="s">
        <v>45</v>
      </c>
      <c r="F49" s="113">
        <f>'memória de cálculo'!J49</f>
        <v>833.69999999999993</v>
      </c>
      <c r="G49" s="115">
        <v>109.02</v>
      </c>
      <c r="H49" s="115">
        <f t="shared" ref="H49" si="42">F49*G49</f>
        <v>90889.973999999987</v>
      </c>
      <c r="I49" s="115">
        <f t="shared" ref="I49" si="43">($G49*$J$3+$G49)</f>
        <v>132.67733999999999</v>
      </c>
      <c r="J49" s="143">
        <f t="shared" ref="J49" si="44">F49*I49</f>
        <v>110613.09835799997</v>
      </c>
    </row>
    <row r="50" spans="1:10" s="144" customFormat="1" ht="16.5" thickBot="1" x14ac:dyDescent="0.25">
      <c r="A50" s="98">
        <v>6</v>
      </c>
      <c r="B50" s="161" t="s">
        <v>188</v>
      </c>
      <c r="C50" s="162"/>
      <c r="D50" s="162"/>
      <c r="E50" s="162"/>
      <c r="F50" s="162"/>
      <c r="G50" s="163"/>
      <c r="H50" s="124">
        <f>SUM(H51:H63)</f>
        <v>63326.799720000017</v>
      </c>
      <c r="I50" s="100"/>
      <c r="J50" s="101">
        <f>SUM(J51:J63)</f>
        <v>77062.83008424002</v>
      </c>
    </row>
    <row r="51" spans="1:10" s="141" customFormat="1" ht="15.75" x14ac:dyDescent="0.2">
      <c r="A51" s="125" t="s">
        <v>107</v>
      </c>
      <c r="B51" s="126" t="s">
        <v>181</v>
      </c>
      <c r="C51" s="127" t="s">
        <v>42</v>
      </c>
      <c r="D51" s="128" t="s">
        <v>180</v>
      </c>
      <c r="E51" s="126" t="s">
        <v>45</v>
      </c>
      <c r="F51" s="106">
        <f>'memória de cálculo'!J51</f>
        <v>449.25</v>
      </c>
      <c r="G51" s="148">
        <v>3.06</v>
      </c>
      <c r="H51" s="148">
        <f t="shared" ref="H51:H52" si="45">F51*G51</f>
        <v>1374.7049999999999</v>
      </c>
      <c r="I51" s="148">
        <f t="shared" ref="I51:I52" si="46">ROUNDDOWN($G51*$J$3+$G51,2)</f>
        <v>3.72</v>
      </c>
      <c r="J51" s="149">
        <f t="shared" ref="J51:J52" si="47">F51*I51</f>
        <v>1671.21</v>
      </c>
    </row>
    <row r="52" spans="1:10" s="141" customFormat="1" ht="15.75" x14ac:dyDescent="0.2">
      <c r="A52" s="109" t="s">
        <v>107</v>
      </c>
      <c r="B52" s="110" t="s">
        <v>182</v>
      </c>
      <c r="C52" s="111" t="s">
        <v>110</v>
      </c>
      <c r="D52" s="118" t="s">
        <v>183</v>
      </c>
      <c r="E52" s="110" t="s">
        <v>45</v>
      </c>
      <c r="F52" s="113">
        <f>'memória de cálculo'!J52</f>
        <v>449.25</v>
      </c>
      <c r="G52" s="115">
        <v>1.24</v>
      </c>
      <c r="H52" s="115">
        <f t="shared" si="45"/>
        <v>557.07000000000005</v>
      </c>
      <c r="I52" s="115">
        <f t="shared" si="46"/>
        <v>1.5</v>
      </c>
      <c r="J52" s="143">
        <f t="shared" si="47"/>
        <v>673.875</v>
      </c>
    </row>
    <row r="53" spans="1:10" s="141" customFormat="1" ht="30" x14ac:dyDescent="0.2">
      <c r="A53" s="109" t="s">
        <v>107</v>
      </c>
      <c r="B53" s="110" t="s">
        <v>184</v>
      </c>
      <c r="C53" s="111" t="s">
        <v>111</v>
      </c>
      <c r="D53" s="118" t="s">
        <v>185</v>
      </c>
      <c r="E53" s="110" t="s">
        <v>52</v>
      </c>
      <c r="F53" s="113">
        <f>'memória de cálculo'!J53</f>
        <v>89.850000000000009</v>
      </c>
      <c r="G53" s="115">
        <v>22.97</v>
      </c>
      <c r="H53" s="115">
        <f>F53*G53</f>
        <v>2063.8544999999999</v>
      </c>
      <c r="I53" s="115">
        <f>($G53*$J$3+$G53)</f>
        <v>27.95449</v>
      </c>
      <c r="J53" s="143">
        <f>(F53*I53)</f>
        <v>2511.7109265000004</v>
      </c>
    </row>
    <row r="54" spans="1:10" s="141" customFormat="1" ht="15.75" x14ac:dyDescent="0.2">
      <c r="A54" s="109" t="s">
        <v>107</v>
      </c>
      <c r="B54" s="110" t="s">
        <v>192</v>
      </c>
      <c r="C54" s="111" t="s">
        <v>112</v>
      </c>
      <c r="D54" s="118" t="s">
        <v>191</v>
      </c>
      <c r="E54" s="110" t="s">
        <v>52</v>
      </c>
      <c r="F54" s="113">
        <f>'memória de cálculo'!J54</f>
        <v>26.954999999999998</v>
      </c>
      <c r="G54" s="115">
        <v>173.46</v>
      </c>
      <c r="H54" s="115">
        <f>F54*G54</f>
        <v>4675.6143000000002</v>
      </c>
      <c r="I54" s="115">
        <f>($G54*$J$3+$G54)</f>
        <v>211.10082</v>
      </c>
      <c r="J54" s="143">
        <f>(F54*I54)</f>
        <v>5690.2226031</v>
      </c>
    </row>
    <row r="55" spans="1:10" s="141" customFormat="1" ht="30" x14ac:dyDescent="0.2">
      <c r="A55" s="109" t="s">
        <v>107</v>
      </c>
      <c r="B55" s="110" t="s">
        <v>190</v>
      </c>
      <c r="C55" s="111" t="s">
        <v>227</v>
      </c>
      <c r="D55" s="118" t="s">
        <v>189</v>
      </c>
      <c r="E55" s="110" t="s">
        <v>45</v>
      </c>
      <c r="F55" s="113">
        <f>'memória de cálculo'!J55</f>
        <v>333.47</v>
      </c>
      <c r="G55" s="115">
        <v>138.69</v>
      </c>
      <c r="H55" s="115">
        <f t="shared" ref="H55:H61" si="48">F55*G55</f>
        <v>46248.954300000005</v>
      </c>
      <c r="I55" s="115">
        <f t="shared" ref="I55:I63" si="49">($G55*$J$3+$G55)</f>
        <v>168.78573</v>
      </c>
      <c r="J55" s="143">
        <f t="shared" ref="J55:J61" si="50">F55*I55</f>
        <v>56284.977383100006</v>
      </c>
    </row>
    <row r="56" spans="1:10" s="141" customFormat="1" ht="15.75" x14ac:dyDescent="0.2">
      <c r="A56" s="102" t="s">
        <v>107</v>
      </c>
      <c r="B56" s="110" t="s">
        <v>209</v>
      </c>
      <c r="C56" s="111" t="s">
        <v>228</v>
      </c>
      <c r="D56" s="118" t="s">
        <v>208</v>
      </c>
      <c r="E56" s="110" t="s">
        <v>45</v>
      </c>
      <c r="F56" s="113">
        <f>'memória de cálculo'!J56</f>
        <v>14.616</v>
      </c>
      <c r="G56" s="115">
        <v>91.67</v>
      </c>
      <c r="H56" s="115">
        <f t="shared" si="48"/>
        <v>1339.84872</v>
      </c>
      <c r="I56" s="115">
        <f t="shared" si="49"/>
        <v>111.56238999999999</v>
      </c>
      <c r="J56" s="143">
        <f t="shared" si="50"/>
        <v>1630.5958922399998</v>
      </c>
    </row>
    <row r="57" spans="1:10" s="141" customFormat="1" ht="15.75" x14ac:dyDescent="0.2">
      <c r="A57" s="102" t="s">
        <v>107</v>
      </c>
      <c r="B57" s="110" t="s">
        <v>211</v>
      </c>
      <c r="C57" s="111" t="s">
        <v>229</v>
      </c>
      <c r="D57" s="118" t="s">
        <v>210</v>
      </c>
      <c r="E57" s="110" t="s">
        <v>45</v>
      </c>
      <c r="F57" s="113">
        <f>'memória de cálculo'!J57</f>
        <v>29.24</v>
      </c>
      <c r="G57" s="115">
        <v>9.0500000000000007</v>
      </c>
      <c r="H57" s="115">
        <f t="shared" si="48"/>
        <v>264.62200000000001</v>
      </c>
      <c r="I57" s="115">
        <f t="shared" si="49"/>
        <v>11.013850000000001</v>
      </c>
      <c r="J57" s="143">
        <f t="shared" si="50"/>
        <v>322.04497400000002</v>
      </c>
    </row>
    <row r="58" spans="1:10" s="141" customFormat="1" ht="15.75" x14ac:dyDescent="0.2">
      <c r="A58" s="102" t="s">
        <v>107</v>
      </c>
      <c r="B58" s="110" t="s">
        <v>213</v>
      </c>
      <c r="C58" s="111" t="s">
        <v>230</v>
      </c>
      <c r="D58" s="118" t="s">
        <v>212</v>
      </c>
      <c r="E58" s="110" t="s">
        <v>45</v>
      </c>
      <c r="F58" s="113">
        <f>'memória de cálculo'!J58</f>
        <v>29.24</v>
      </c>
      <c r="G58" s="115">
        <v>32.479999999999997</v>
      </c>
      <c r="H58" s="115">
        <f t="shared" si="48"/>
        <v>949.71519999999987</v>
      </c>
      <c r="I58" s="115">
        <f t="shared" si="49"/>
        <v>39.52816</v>
      </c>
      <c r="J58" s="143">
        <f t="shared" si="50"/>
        <v>1155.8033983999999</v>
      </c>
    </row>
    <row r="59" spans="1:10" s="141" customFormat="1" ht="15.75" x14ac:dyDescent="0.2">
      <c r="A59" s="102" t="s">
        <v>107</v>
      </c>
      <c r="B59" s="110" t="s">
        <v>215</v>
      </c>
      <c r="C59" s="111" t="s">
        <v>231</v>
      </c>
      <c r="D59" s="118" t="s">
        <v>214</v>
      </c>
      <c r="E59" s="110" t="s">
        <v>45</v>
      </c>
      <c r="F59" s="113">
        <f>'memória de cálculo'!J59</f>
        <v>29.24</v>
      </c>
      <c r="G59" s="115">
        <v>34.19</v>
      </c>
      <c r="H59" s="115">
        <f t="shared" si="48"/>
        <v>999.71559999999988</v>
      </c>
      <c r="I59" s="115">
        <f t="shared" si="49"/>
        <v>41.609229999999997</v>
      </c>
      <c r="J59" s="143">
        <f t="shared" si="50"/>
        <v>1216.6538851999999</v>
      </c>
    </row>
    <row r="60" spans="1:10" s="141" customFormat="1" ht="15.75" x14ac:dyDescent="0.2">
      <c r="A60" s="102" t="s">
        <v>107</v>
      </c>
      <c r="B60" s="110" t="s">
        <v>217</v>
      </c>
      <c r="C60" s="111" t="s">
        <v>232</v>
      </c>
      <c r="D60" s="118" t="s">
        <v>216</v>
      </c>
      <c r="E60" s="110" t="s">
        <v>45</v>
      </c>
      <c r="F60" s="113">
        <f>'memória de cálculo'!J60</f>
        <v>29.24</v>
      </c>
      <c r="G60" s="115">
        <v>6.27</v>
      </c>
      <c r="H60" s="115">
        <f t="shared" si="48"/>
        <v>183.33479999999997</v>
      </c>
      <c r="I60" s="115">
        <f t="shared" si="49"/>
        <v>7.6305899999999998</v>
      </c>
      <c r="J60" s="143">
        <f t="shared" si="50"/>
        <v>223.11845159999999</v>
      </c>
    </row>
    <row r="61" spans="1:10" s="141" customFormat="1" ht="15.75" x14ac:dyDescent="0.2">
      <c r="A61" s="102" t="s">
        <v>107</v>
      </c>
      <c r="B61" s="110" t="s">
        <v>66</v>
      </c>
      <c r="C61" s="111" t="s">
        <v>233</v>
      </c>
      <c r="D61" s="118" t="s">
        <v>218</v>
      </c>
      <c r="E61" s="110" t="s">
        <v>45</v>
      </c>
      <c r="F61" s="113">
        <f>'memória de cálculo'!J61</f>
        <v>29.24</v>
      </c>
      <c r="G61" s="115">
        <v>15.18</v>
      </c>
      <c r="H61" s="115">
        <f t="shared" si="48"/>
        <v>443.86319999999995</v>
      </c>
      <c r="I61" s="115">
        <f t="shared" si="49"/>
        <v>18.474060000000001</v>
      </c>
      <c r="J61" s="143">
        <f t="shared" si="50"/>
        <v>540.18151439999997</v>
      </c>
    </row>
    <row r="62" spans="1:10" s="141" customFormat="1" ht="15.75" x14ac:dyDescent="0.2">
      <c r="A62" s="102" t="s">
        <v>107</v>
      </c>
      <c r="B62" s="110" t="s">
        <v>261</v>
      </c>
      <c r="C62" s="111" t="s">
        <v>234</v>
      </c>
      <c r="D62" s="118" t="s">
        <v>260</v>
      </c>
      <c r="E62" s="110" t="s">
        <v>45</v>
      </c>
      <c r="F62" s="113">
        <f>'memória de cálculo'!J62</f>
        <v>333.47</v>
      </c>
      <c r="G62" s="115">
        <v>11.43</v>
      </c>
      <c r="H62" s="115">
        <f t="shared" ref="H62" si="51">F62*G62</f>
        <v>3811.5621000000001</v>
      </c>
      <c r="I62" s="115">
        <f t="shared" si="49"/>
        <v>13.910309999999999</v>
      </c>
      <c r="J62" s="143">
        <f t="shared" ref="J62" si="52">F62*I62</f>
        <v>4638.6710757000001</v>
      </c>
    </row>
    <row r="63" spans="1:10" s="141" customFormat="1" ht="16.5" thickBot="1" x14ac:dyDescent="0.25">
      <c r="A63" s="102" t="s">
        <v>107</v>
      </c>
      <c r="B63" s="110" t="s">
        <v>221</v>
      </c>
      <c r="C63" s="111" t="s">
        <v>255</v>
      </c>
      <c r="D63" s="118" t="s">
        <v>220</v>
      </c>
      <c r="E63" s="110" t="s">
        <v>154</v>
      </c>
      <c r="F63" s="113">
        <f>'memória de cálculo'!J63</f>
        <v>1</v>
      </c>
      <c r="G63" s="115">
        <v>413.94</v>
      </c>
      <c r="H63" s="115">
        <f t="shared" ref="H63" si="53">F63*G63</f>
        <v>413.94</v>
      </c>
      <c r="I63" s="115">
        <f t="shared" si="49"/>
        <v>503.76497999999998</v>
      </c>
      <c r="J63" s="143">
        <f t="shared" ref="J63" si="54">F63*I63</f>
        <v>503.76497999999998</v>
      </c>
    </row>
    <row r="64" spans="1:10" s="144" customFormat="1" ht="16.5" thickBot="1" x14ac:dyDescent="0.25">
      <c r="A64" s="98">
        <v>7</v>
      </c>
      <c r="B64" s="182" t="s">
        <v>195</v>
      </c>
      <c r="C64" s="182"/>
      <c r="D64" s="182"/>
      <c r="E64" s="182"/>
      <c r="F64" s="182"/>
      <c r="G64" s="182"/>
      <c r="H64" s="99">
        <f>SUM(H65:H67)</f>
        <v>4808.1347999999998</v>
      </c>
      <c r="I64" s="100"/>
      <c r="J64" s="101">
        <f>SUM(J65:J67)</f>
        <v>5851.5000516</v>
      </c>
    </row>
    <row r="65" spans="1:10" s="141" customFormat="1" ht="15.75" x14ac:dyDescent="0.2">
      <c r="A65" s="102" t="s">
        <v>107</v>
      </c>
      <c r="B65" s="103" t="s">
        <v>197</v>
      </c>
      <c r="C65" s="104" t="s">
        <v>113</v>
      </c>
      <c r="D65" s="116" t="s">
        <v>196</v>
      </c>
      <c r="E65" s="103" t="s">
        <v>45</v>
      </c>
      <c r="F65" s="106">
        <f>'memória de cálculo'!J65</f>
        <v>115.78</v>
      </c>
      <c r="G65" s="108">
        <v>30.66</v>
      </c>
      <c r="H65" s="108">
        <f t="shared" ref="H65" si="55">F65*G65</f>
        <v>3549.8148000000001</v>
      </c>
      <c r="I65" s="108">
        <f>($G65*$J$3+$G65)</f>
        <v>37.313220000000001</v>
      </c>
      <c r="J65" s="142">
        <f t="shared" ref="J65" si="56">F65*I65</f>
        <v>4320.1246116000002</v>
      </c>
    </row>
    <row r="66" spans="1:10" s="141" customFormat="1" ht="15.75" x14ac:dyDescent="0.2">
      <c r="A66" s="102" t="s">
        <v>107</v>
      </c>
      <c r="B66" s="103" t="s">
        <v>200</v>
      </c>
      <c r="C66" s="104" t="s">
        <v>114</v>
      </c>
      <c r="D66" s="116" t="s">
        <v>219</v>
      </c>
      <c r="E66" s="110" t="s">
        <v>53</v>
      </c>
      <c r="F66" s="113">
        <f>'memória de cálculo'!J66</f>
        <v>7</v>
      </c>
      <c r="G66" s="108">
        <v>14.65</v>
      </c>
      <c r="H66" s="108">
        <f t="shared" ref="H66" si="57">F66*G66</f>
        <v>102.55</v>
      </c>
      <c r="I66" s="108">
        <f>($G66*$J$3+$G66)</f>
        <v>17.829050000000002</v>
      </c>
      <c r="J66" s="142">
        <f t="shared" ref="J66" si="58">F66*I66</f>
        <v>124.80335000000002</v>
      </c>
    </row>
    <row r="67" spans="1:10" s="141" customFormat="1" ht="16.5" thickBot="1" x14ac:dyDescent="0.25">
      <c r="A67" s="102" t="s">
        <v>107</v>
      </c>
      <c r="B67" s="110" t="s">
        <v>199</v>
      </c>
      <c r="C67" s="104" t="s">
        <v>115</v>
      </c>
      <c r="D67" s="118" t="s">
        <v>198</v>
      </c>
      <c r="E67" s="110" t="s">
        <v>53</v>
      </c>
      <c r="F67" s="113">
        <f>'memória de cálculo'!J67</f>
        <v>7</v>
      </c>
      <c r="G67" s="115">
        <v>165.11</v>
      </c>
      <c r="H67" s="115">
        <f t="shared" ref="H67" si="59">F67*G67</f>
        <v>1155.77</v>
      </c>
      <c r="I67" s="115">
        <f t="shared" ref="I67" si="60">($G67*$J$3+$G67)</f>
        <v>200.93887000000001</v>
      </c>
      <c r="J67" s="143">
        <f t="shared" ref="J67" si="61">F67*I67</f>
        <v>1406.5720900000001</v>
      </c>
    </row>
    <row r="68" spans="1:10" s="144" customFormat="1" ht="16.5" thickBot="1" x14ac:dyDescent="0.25">
      <c r="A68" s="98">
        <v>8</v>
      </c>
      <c r="B68" s="161" t="s">
        <v>205</v>
      </c>
      <c r="C68" s="162"/>
      <c r="D68" s="162"/>
      <c r="E68" s="162"/>
      <c r="F68" s="162"/>
      <c r="G68" s="163"/>
      <c r="H68" s="99">
        <f>SUM(H69:H70)</f>
        <v>1326.6912000000002</v>
      </c>
      <c r="I68" s="100"/>
      <c r="J68" s="101">
        <f>SUM(J69:J70)</f>
        <v>1614.5831904000001</v>
      </c>
    </row>
    <row r="69" spans="1:10" s="141" customFormat="1" ht="30" x14ac:dyDescent="0.2">
      <c r="A69" s="125" t="s">
        <v>107</v>
      </c>
      <c r="B69" s="126" t="s">
        <v>204</v>
      </c>
      <c r="C69" s="127" t="s">
        <v>122</v>
      </c>
      <c r="D69" s="128" t="s">
        <v>203</v>
      </c>
      <c r="E69" s="126" t="s">
        <v>45</v>
      </c>
      <c r="F69" s="106">
        <f>'memória de cálculo'!J69</f>
        <v>0.96</v>
      </c>
      <c r="G69" s="148">
        <v>715.22</v>
      </c>
      <c r="H69" s="148">
        <f t="shared" ref="H69" si="62">F69*G69</f>
        <v>686.61120000000005</v>
      </c>
      <c r="I69" s="148">
        <f>($G69*$J$3+$G69)</f>
        <v>870.42273999999998</v>
      </c>
      <c r="J69" s="149">
        <f t="shared" ref="J69" si="63">F69*I69</f>
        <v>835.60583039999995</v>
      </c>
    </row>
    <row r="70" spans="1:10" s="141" customFormat="1" ht="16.5" thickBot="1" x14ac:dyDescent="0.25">
      <c r="A70" s="129" t="s">
        <v>107</v>
      </c>
      <c r="B70" s="130" t="s">
        <v>207</v>
      </c>
      <c r="C70" s="131" t="s">
        <v>123</v>
      </c>
      <c r="D70" s="132" t="s">
        <v>206</v>
      </c>
      <c r="E70" s="130" t="s">
        <v>45</v>
      </c>
      <c r="F70" s="113">
        <f>'memória de cálculo'!J70</f>
        <v>24</v>
      </c>
      <c r="G70" s="150">
        <v>26.67</v>
      </c>
      <c r="H70" s="150">
        <f t="shared" ref="H70" si="64">F70*G70</f>
        <v>640.08000000000004</v>
      </c>
      <c r="I70" s="150">
        <f>($G70*$J$3+$G70)</f>
        <v>32.457390000000004</v>
      </c>
      <c r="J70" s="151">
        <f t="shared" ref="J70" si="65">F70*I70</f>
        <v>778.97736000000009</v>
      </c>
    </row>
    <row r="71" spans="1:10" s="141" customFormat="1" ht="16.5" thickBot="1" x14ac:dyDescent="0.25">
      <c r="A71" s="98">
        <v>9</v>
      </c>
      <c r="B71" s="182" t="s">
        <v>33</v>
      </c>
      <c r="C71" s="182"/>
      <c r="D71" s="182"/>
      <c r="E71" s="182"/>
      <c r="F71" s="182"/>
      <c r="G71" s="182"/>
      <c r="H71" s="99">
        <f>SUM(H72)</f>
        <v>9083.2860000000001</v>
      </c>
      <c r="I71" s="100"/>
      <c r="J71" s="101">
        <f>SUM(J72)</f>
        <v>11054.359062000001</v>
      </c>
    </row>
    <row r="72" spans="1:10" ht="16.5" thickBot="1" x14ac:dyDescent="0.25">
      <c r="A72" s="129" t="s">
        <v>28</v>
      </c>
      <c r="B72" s="130" t="s">
        <v>12</v>
      </c>
      <c r="C72" s="133" t="s">
        <v>124</v>
      </c>
      <c r="D72" s="134" t="s">
        <v>33</v>
      </c>
      <c r="E72" s="135" t="s">
        <v>45</v>
      </c>
      <c r="F72" s="136">
        <f>'memória de cálculo'!J72</f>
        <v>1282.95</v>
      </c>
      <c r="G72" s="137">
        <v>7.08</v>
      </c>
      <c r="H72" s="152">
        <f t="shared" ref="H72" si="66">F72*G72</f>
        <v>9083.2860000000001</v>
      </c>
      <c r="I72" s="152">
        <f>($G72*$J$3+$G72)</f>
        <v>8.6163600000000002</v>
      </c>
      <c r="J72" s="153">
        <f t="shared" ref="J72" si="67">F72*I72</f>
        <v>11054.359062000001</v>
      </c>
    </row>
    <row r="73" spans="1:10" ht="16.5" thickBot="1" x14ac:dyDescent="0.25">
      <c r="A73" s="211" t="s">
        <v>9</v>
      </c>
      <c r="B73" s="212"/>
      <c r="C73" s="212"/>
      <c r="D73" s="212"/>
      <c r="E73" s="212"/>
      <c r="F73" s="212"/>
      <c r="G73" s="213"/>
      <c r="H73" s="154">
        <f>H8+H15+H27+H38+H45+H50+H64+H68+H71</f>
        <v>958608.48738000006</v>
      </c>
      <c r="I73" s="155"/>
      <c r="J73" s="154">
        <f>J8+J15+J27+J38+J45+J50+J64+J68+J71</f>
        <v>1166590.2489006596</v>
      </c>
    </row>
    <row r="74" spans="1:10" ht="15" customHeight="1" x14ac:dyDescent="0.2">
      <c r="A74" s="207" t="s">
        <v>32</v>
      </c>
      <c r="B74" s="208"/>
      <c r="C74" s="208"/>
      <c r="D74" s="156"/>
      <c r="E74" s="214" t="s">
        <v>70</v>
      </c>
      <c r="F74" s="215"/>
      <c r="G74" s="215"/>
      <c r="H74" s="215"/>
      <c r="I74" s="215"/>
      <c r="J74" s="216"/>
    </row>
    <row r="75" spans="1:10" ht="15" customHeight="1" x14ac:dyDescent="0.2">
      <c r="A75" s="209"/>
      <c r="B75" s="210"/>
      <c r="C75" s="210"/>
      <c r="D75" s="157"/>
      <c r="E75" s="217"/>
      <c r="F75" s="218"/>
      <c r="G75" s="218"/>
      <c r="H75" s="218"/>
      <c r="I75" s="218"/>
      <c r="J75" s="219"/>
    </row>
    <row r="76" spans="1:10" ht="15" customHeight="1" x14ac:dyDescent="0.2">
      <c r="A76" s="209"/>
      <c r="B76" s="210"/>
      <c r="C76" s="210"/>
      <c r="D76" s="157"/>
      <c r="E76" s="217"/>
      <c r="F76" s="218"/>
      <c r="G76" s="218"/>
      <c r="H76" s="218"/>
      <c r="I76" s="218"/>
      <c r="J76" s="219"/>
    </row>
    <row r="77" spans="1:10" ht="51" customHeight="1" thickBot="1" x14ac:dyDescent="0.25">
      <c r="A77" s="205" t="s">
        <v>125</v>
      </c>
      <c r="B77" s="206"/>
      <c r="C77" s="206"/>
      <c r="D77" s="158"/>
      <c r="E77" s="220"/>
      <c r="F77" s="221"/>
      <c r="G77" s="221"/>
      <c r="H77" s="221"/>
      <c r="I77" s="221"/>
      <c r="J77" s="222"/>
    </row>
    <row r="79" spans="1:10" x14ac:dyDescent="0.2">
      <c r="D79" s="160"/>
    </row>
  </sheetData>
  <mergeCells count="32">
    <mergeCell ref="A77:C77"/>
    <mergeCell ref="A74:C76"/>
    <mergeCell ref="B64:G64"/>
    <mergeCell ref="B68:G68"/>
    <mergeCell ref="B71:G71"/>
    <mergeCell ref="A73:G73"/>
    <mergeCell ref="E74:J77"/>
    <mergeCell ref="A6:A7"/>
    <mergeCell ref="H5:J5"/>
    <mergeCell ref="F6:F7"/>
    <mergeCell ref="C6:C7"/>
    <mergeCell ref="A1:A5"/>
    <mergeCell ref="D6:D7"/>
    <mergeCell ref="H1:J1"/>
    <mergeCell ref="H4:J4"/>
    <mergeCell ref="B4:D4"/>
    <mergeCell ref="B5:D5"/>
    <mergeCell ref="B45:G45"/>
    <mergeCell ref="B50:G50"/>
    <mergeCell ref="B3:D3"/>
    <mergeCell ref="H2:J2"/>
    <mergeCell ref="G6:H6"/>
    <mergeCell ref="I6:J6"/>
    <mergeCell ref="H3:I3"/>
    <mergeCell ref="E3:G5"/>
    <mergeCell ref="B38:G38"/>
    <mergeCell ref="B27:G27"/>
    <mergeCell ref="B8:G8"/>
    <mergeCell ref="B15:G15"/>
    <mergeCell ref="B1:G2"/>
    <mergeCell ref="B6:B7"/>
    <mergeCell ref="E6:E7"/>
  </mergeCells>
  <phoneticPr fontId="26" type="noConversion"/>
  <printOptions horizontalCentered="1" verticalCentered="1"/>
  <pageMargins left="0.51181102362204722" right="0.51181102362204722" top="0.78740157480314965" bottom="0.78740157480314965" header="0.31496062992125984" footer="0.31496062992125984"/>
  <pageSetup paperSize="9" scale="37" fitToHeight="0" orientation="landscape" r:id="rId1"/>
  <headerFooter>
    <oddHeader>&amp;L&amp;G</oddHeader>
    <oddFooter xml:space="preserve">&amp;C&amp;12RJ Morais Engenharia e Arquitetura Ltda
www.rjmorais.com.br / rjmoraisengenharia@gmail.com / Fone: (37) 99954-4316
CNPJ: 42.441.571/0001-01
</oddFooter>
  </headerFooter>
  <rowBreaks count="1" manualBreakCount="1">
    <brk id="49" max="9" man="1"/>
  </rowBreak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J83"/>
  <sheetViews>
    <sheetView view="pageBreakPreview" topLeftCell="A68" zoomScale="40" zoomScaleNormal="100" zoomScaleSheetLayoutView="40" workbookViewId="0">
      <selection activeCell="B1" sqref="B1:G2"/>
    </sheetView>
  </sheetViews>
  <sheetFormatPr defaultRowHeight="15" x14ac:dyDescent="0.25"/>
  <cols>
    <col min="1" max="1" width="23" style="8" customWidth="1"/>
    <col min="2" max="2" width="22.7109375" style="8" customWidth="1"/>
    <col min="3" max="3" width="17" customWidth="1"/>
    <col min="4" max="4" width="176.7109375" customWidth="1"/>
    <col min="6" max="6" width="14.28515625" style="4" customWidth="1"/>
    <col min="7" max="7" width="21" customWidth="1"/>
    <col min="8" max="8" width="31" bestFit="1" customWidth="1"/>
    <col min="9" max="9" width="67.28515625" customWidth="1"/>
    <col min="10" max="10" width="30.7109375" bestFit="1" customWidth="1"/>
  </cols>
  <sheetData>
    <row r="1" spans="1:10" ht="31.9" customHeight="1" x14ac:dyDescent="0.25">
      <c r="A1" s="234"/>
      <c r="B1" s="237" t="s">
        <v>34</v>
      </c>
      <c r="C1" s="237"/>
      <c r="D1" s="237"/>
      <c r="E1" s="237"/>
      <c r="F1" s="237"/>
      <c r="G1" s="238"/>
      <c r="H1" s="241" t="str">
        <f>Planilha!H1</f>
        <v>DATA = ABRIL DE 2023</v>
      </c>
      <c r="I1" s="241"/>
      <c r="J1" s="242"/>
    </row>
    <row r="2" spans="1:10" ht="36" customHeight="1" x14ac:dyDescent="0.25">
      <c r="A2" s="235"/>
      <c r="B2" s="239"/>
      <c r="C2" s="239"/>
      <c r="D2" s="239"/>
      <c r="E2" s="239"/>
      <c r="F2" s="239"/>
      <c r="G2" s="240"/>
      <c r="H2" s="243" t="str">
        <f>Planilha!H2</f>
        <v>Data-Base (mês de ref.): SINAPI/FEV 2023 - SETOP/JAN 2023</v>
      </c>
      <c r="I2" s="244"/>
      <c r="J2" s="245"/>
    </row>
    <row r="3" spans="1:10" ht="32.450000000000003" customHeight="1" x14ac:dyDescent="0.25">
      <c r="A3" s="235"/>
      <c r="B3" s="246" t="str">
        <f>Planilha!B3</f>
        <v>REESTRUTURAÇÃO DO MURO DE ARRIMO DA RUA JÕAO RODRIGUES DOS SANTOS, TRECHOS ENTRE AS RUAS NOSSA SENHORA APARECIDA E DOM BOSCO</v>
      </c>
      <c r="C3" s="246"/>
      <c r="D3" s="247"/>
      <c r="E3" s="248" t="s">
        <v>11</v>
      </c>
      <c r="F3" s="249"/>
      <c r="G3" s="250"/>
      <c r="H3" s="257" t="s">
        <v>30</v>
      </c>
      <c r="I3" s="258"/>
      <c r="J3" s="9">
        <f>Planilha!J3</f>
        <v>0.217</v>
      </c>
    </row>
    <row r="4" spans="1:10" ht="30" customHeight="1" x14ac:dyDescent="0.25">
      <c r="A4" s="235"/>
      <c r="B4" s="259" t="str">
        <f>Planilha!B4</f>
        <v>LOCAL: RUA JOÃO RODRIGUES DOS SANTOS, CEDRO DO ABAETÉ - MG</v>
      </c>
      <c r="C4" s="259"/>
      <c r="D4" s="260"/>
      <c r="E4" s="251"/>
      <c r="F4" s="252"/>
      <c r="G4" s="253"/>
      <c r="H4" s="261" t="s">
        <v>29</v>
      </c>
      <c r="I4" s="262"/>
      <c r="J4" s="263"/>
    </row>
    <row r="5" spans="1:10" ht="29.45" customHeight="1" thickBot="1" x14ac:dyDescent="0.3">
      <c r="A5" s="236"/>
      <c r="B5" s="264" t="str">
        <f>Planilha!B5</f>
        <v>PREFEITURA MUNICIPAL DE CEDRO DO ABAETÉ - MG</v>
      </c>
      <c r="C5" s="264"/>
      <c r="D5" s="265"/>
      <c r="E5" s="254"/>
      <c r="F5" s="255"/>
      <c r="G5" s="256"/>
      <c r="H5" s="231" t="s">
        <v>10</v>
      </c>
      <c r="I5" s="232"/>
      <c r="J5" s="233"/>
    </row>
    <row r="6" spans="1:10" x14ac:dyDescent="0.25">
      <c r="A6" s="270"/>
      <c r="B6" s="271" t="s">
        <v>1</v>
      </c>
      <c r="C6" s="271" t="s">
        <v>2</v>
      </c>
      <c r="D6" s="271" t="s">
        <v>3</v>
      </c>
      <c r="E6" s="271" t="s">
        <v>0</v>
      </c>
      <c r="F6" s="273" t="s">
        <v>35</v>
      </c>
      <c r="G6" s="273"/>
      <c r="H6" s="275" t="s">
        <v>36</v>
      </c>
      <c r="I6" s="275"/>
      <c r="J6" s="277" t="s">
        <v>37</v>
      </c>
    </row>
    <row r="7" spans="1:10" ht="15.75" thickBot="1" x14ac:dyDescent="0.3">
      <c r="A7" s="270"/>
      <c r="B7" s="272"/>
      <c r="C7" s="272"/>
      <c r="D7" s="272"/>
      <c r="E7" s="272"/>
      <c r="F7" s="274"/>
      <c r="G7" s="274"/>
      <c r="H7" s="276"/>
      <c r="I7" s="276"/>
      <c r="J7" s="278"/>
    </row>
    <row r="8" spans="1:10" ht="25.15" customHeight="1" thickBot="1" x14ac:dyDescent="0.3">
      <c r="A8" s="3">
        <f>Planilha!A8</f>
        <v>1</v>
      </c>
      <c r="B8" s="225" t="str">
        <f>Planilha!B8</f>
        <v>SERVIÇOS PRELIMINARES</v>
      </c>
      <c r="C8" s="226"/>
      <c r="D8" s="226"/>
      <c r="E8" s="226"/>
      <c r="F8" s="226"/>
      <c r="G8" s="226"/>
      <c r="H8" s="226"/>
      <c r="I8" s="226"/>
      <c r="J8" s="227"/>
    </row>
    <row r="9" spans="1:10" ht="204" x14ac:dyDescent="0.25">
      <c r="A9" s="13" t="str">
        <f>Planilha!A9</f>
        <v>Setop</v>
      </c>
      <c r="B9" s="14" t="str">
        <f>Planilha!B9</f>
        <v>ED-16660</v>
      </c>
      <c r="C9" s="16" t="str">
        <f>Planilha!C9</f>
        <v>1.1</v>
      </c>
      <c r="D9" s="90" t="str">
        <f>Planilha!D9</f>
        <v>FORNECIMENTO E COLOCAÇÃO DE PLACA DE OBRA EM CHAPA GALVANIZADA #26, ESP. 0,45 MM, PLOTADA COM ADESIVO VINÍLICO, AFIXADA COM REBITES 4,8X40 MM, EM ESTRUTURA METÁLICA DE METALON 20X20 MM, ESP. 1,25 MM, INCLUSIVE SUPORTE EM EUCALIPTO AUTOCLAVADO PINTADO COM TINTA PVA FORNECIMENTO E COLOCAÇÃO DE PLACA DE OBRA EM CHAPA GALVANIZADA #26, ESP. 0,45 MM, PLOTADA COM ADESIVO VINÍLICO, AFIXADA COM REBITES 4,8X40 MM, EM ESTRUTURA METÁLICA DE METALON 20X20 MM, ESP. 1,25 MM, INCLUSIVE SUPORTE EM EUCALIPTO AUTOCLAVADO PINTADO COM TINTA PVA DUAS (2) DEMÃOS</v>
      </c>
      <c r="E9" s="14" t="str">
        <f>Planilha!E9</f>
        <v>m²</v>
      </c>
      <c r="F9" s="223" t="s">
        <v>62</v>
      </c>
      <c r="G9" s="223"/>
      <c r="H9" s="223" t="s">
        <v>256</v>
      </c>
      <c r="I9" s="223"/>
      <c r="J9" s="92">
        <f>1.5*3</f>
        <v>4.5</v>
      </c>
    </row>
    <row r="10" spans="1:10" ht="26.25" x14ac:dyDescent="0.25">
      <c r="A10" s="17" t="str">
        <f>Planilha!A10</f>
        <v>Setop</v>
      </c>
      <c r="B10" s="18" t="str">
        <f>Planilha!B10</f>
        <v>CREA/MG</v>
      </c>
      <c r="C10" s="15" t="str">
        <f>Planilha!C10</f>
        <v>1.2</v>
      </c>
      <c r="D10" s="91" t="str">
        <f>Planilha!D10</f>
        <v>ANOTAÇÃO DE RESPONSABILIDADE TÉCNICA DE EXECUÇÃO / EMISSÃO DE CAT</v>
      </c>
      <c r="E10" s="18" t="str">
        <f>Planilha!E10</f>
        <v>vb</v>
      </c>
      <c r="F10" s="228" t="s">
        <v>63</v>
      </c>
      <c r="G10" s="229"/>
      <c r="H10" s="228" t="s">
        <v>65</v>
      </c>
      <c r="I10" s="229"/>
      <c r="J10" s="93">
        <v>1</v>
      </c>
    </row>
    <row r="11" spans="1:10" ht="127.5" x14ac:dyDescent="0.25">
      <c r="A11" s="17" t="str">
        <f>Planilha!A11</f>
        <v>Setop</v>
      </c>
      <c r="B11" s="18" t="str">
        <f>Planilha!B11</f>
        <v>ED-16350</v>
      </c>
      <c r="C11" s="15" t="str">
        <f>Planilha!C11</f>
        <v>1.3</v>
      </c>
      <c r="D11" s="91" t="str">
        <f>Planilha!D11</f>
        <v>LOCAÇÃO DE CONTAINER COM ISOLAMENTO TÉRMICO, TIPO 3, PARA DEPÓSITO/FERRAMENTARIA DE OBRA, COM MEDIDAS REFERENCIAIS DE (6) METROS COMPRIMENTO, (2,3) METROS LARGURA E (2,5) METROS ALTURA ÚTIL INTERNA, INCLUSIVE LIGAÇÕES ELÉTRICAS INTERNAS, EXCLUSIVE MOBILIZAÇÃO/ DESMOBILIZAÇÃO E LIGAÇÕES PROVISÓRIAS EXTERNAS</v>
      </c>
      <c r="E11" s="18" t="str">
        <f>Planilha!E11</f>
        <v>mês</v>
      </c>
      <c r="F11" s="230" t="s">
        <v>64</v>
      </c>
      <c r="G11" s="230"/>
      <c r="H11" s="230" t="s">
        <v>65</v>
      </c>
      <c r="I11" s="230"/>
      <c r="J11" s="94">
        <v>4</v>
      </c>
    </row>
    <row r="12" spans="1:10" ht="76.5" x14ac:dyDescent="0.25">
      <c r="A12" s="17" t="str">
        <f>Planilha!A12</f>
        <v>Setop</v>
      </c>
      <c r="B12" s="18" t="str">
        <f>Planilha!B12</f>
        <v>ED-50137</v>
      </c>
      <c r="C12" s="15" t="str">
        <f>Planilha!C12</f>
        <v>1.4</v>
      </c>
      <c r="D12" s="91" t="str">
        <f>Planilha!D12</f>
        <v>MOBILIZAÇÃO E DESMOBILIZAÇÃO DE CONTAINER, INCLUSIVE CARGA, DESCARGA E TRANSPORTE EM CAMINHÃO CARROCERIA COM GUINDAUTO (MUNCK), EXCLUSIVE LOCAÇÃO DO CONTAINER</v>
      </c>
      <c r="E12" s="18" t="str">
        <f>Planilha!E12</f>
        <v>un</v>
      </c>
      <c r="F12" s="230" t="s">
        <v>63</v>
      </c>
      <c r="G12" s="230"/>
      <c r="H12" s="230" t="s">
        <v>65</v>
      </c>
      <c r="I12" s="230"/>
      <c r="J12" s="94">
        <v>2</v>
      </c>
    </row>
    <row r="13" spans="1:10" ht="163.5" customHeight="1" x14ac:dyDescent="0.25">
      <c r="A13" s="17" t="str">
        <f>Planilha!A13</f>
        <v>Setop</v>
      </c>
      <c r="B13" s="18" t="str">
        <f>Planilha!B13</f>
        <v xml:space="preserve">ED-48443 </v>
      </c>
      <c r="C13" s="15" t="str">
        <f>Planilha!C13</f>
        <v>1.5</v>
      </c>
      <c r="D13" s="91" t="str">
        <f>Planilha!D13</f>
        <v>DEMOLIÇÃO MECANIZADA DE CONCRETO ARMADO, COM EQUIPAMENTO ELÉTRICO, INCLUSIVE AFASTAMENTO E EMPILHAMENTO, EXCLUSIVE TRANSPORTE E RETIRADA DO MATERIAL DEMOLIDO</v>
      </c>
      <c r="E13" s="18" t="str">
        <f>Planilha!E13</f>
        <v>m³</v>
      </c>
      <c r="F13" s="230" t="s">
        <v>285</v>
      </c>
      <c r="G13" s="230"/>
      <c r="H13" s="230" t="s">
        <v>286</v>
      </c>
      <c r="I13" s="230"/>
      <c r="J13" s="94">
        <f>(169.9*1.5*0.2)+(333.47*0.1)</f>
        <v>84.317000000000007</v>
      </c>
    </row>
    <row r="14" spans="1:10" ht="114.75" customHeight="1" thickBot="1" x14ac:dyDescent="0.3">
      <c r="A14" s="17" t="str">
        <f>Planilha!A14</f>
        <v>setop</v>
      </c>
      <c r="B14" s="18" t="str">
        <f>Planilha!B14</f>
        <v>ED-29233</v>
      </c>
      <c r="C14" s="15" t="str">
        <f>Planilha!C14</f>
        <v>1.6</v>
      </c>
      <c r="D14" s="91" t="str">
        <f>Planilha!D14</f>
        <v>TRANSPORTE DE MATERIAL DE QUALQUER NATUREZA EM CAMINHÃO, DISTÂNCIA MAIOR QUE 10KM E MENOR OU IGUAL A 20KM, DENTRO DO PERÍMETRO URBANO, EXCLUSIVE CARGA, INCLUSIVE DESCARGA</v>
      </c>
      <c r="E14" s="18" t="str">
        <f>Planilha!E14</f>
        <v>m³ x Km</v>
      </c>
      <c r="F14" s="230" t="s">
        <v>63</v>
      </c>
      <c r="G14" s="230"/>
      <c r="H14" s="223" t="s">
        <v>284</v>
      </c>
      <c r="I14" s="223"/>
      <c r="J14" s="94">
        <f>J13*20</f>
        <v>1686.3400000000001</v>
      </c>
    </row>
    <row r="15" spans="1:10" ht="25.15" customHeight="1" thickBot="1" x14ac:dyDescent="0.3">
      <c r="A15" s="3">
        <f>Planilha!A15</f>
        <v>2</v>
      </c>
      <c r="B15" s="225" t="str">
        <f>Planilha!B15</f>
        <v>MURO DE ARRIMO</v>
      </c>
      <c r="C15" s="226"/>
      <c r="D15" s="226"/>
      <c r="E15" s="226"/>
      <c r="F15" s="226"/>
      <c r="G15" s="226"/>
      <c r="H15" s="226"/>
      <c r="I15" s="226"/>
      <c r="J15" s="227"/>
    </row>
    <row r="16" spans="1:10" ht="130.5" customHeight="1" x14ac:dyDescent="0.25">
      <c r="A16" s="13" t="str">
        <f>Planilha!A16</f>
        <v>Setop</v>
      </c>
      <c r="B16" s="14" t="str">
        <f>Planilha!B16</f>
        <v xml:space="preserve">ED-29821  </v>
      </c>
      <c r="C16" s="16" t="str">
        <f>Planilha!C16</f>
        <v>2.1</v>
      </c>
      <c r="D16" s="90" t="str">
        <f>Planilha!D16</f>
        <v>MOBILIZAÇÃO E DESMOBILIZAÇÃO DE EQUIPAMENTO PARA ESTACA TIPO STRAUSS (CUSTO FIXO), INCLUSIVE CARGA E DESCARGA, EXCLUSIVE TRANSPORTE EM QUILÔMETRO RODADO (CUSTO VARIÁVEL)</v>
      </c>
      <c r="E16" s="14" t="str">
        <f>Planilha!E16</f>
        <v>un</v>
      </c>
      <c r="F16" s="223" t="s">
        <v>239</v>
      </c>
      <c r="G16" s="223"/>
      <c r="H16" s="223" t="s">
        <v>65</v>
      </c>
      <c r="I16" s="223"/>
      <c r="J16" s="92">
        <v>1</v>
      </c>
    </row>
    <row r="17" spans="1:10" ht="130.5" customHeight="1" x14ac:dyDescent="0.25">
      <c r="A17" s="13" t="str">
        <f>Planilha!A17</f>
        <v>Setop</v>
      </c>
      <c r="B17" s="14" t="str">
        <f>Planilha!B17</f>
        <v>ED-26525</v>
      </c>
      <c r="C17" s="16" t="str">
        <f>Planilha!C17</f>
        <v>2.2</v>
      </c>
      <c r="D17" s="90" t="str">
        <f>Planilha!D17</f>
        <v>EXECUÇÃO DE ESTACA TIPO STRAUSS, DIÂMETRO 45CM,EXCLUSIVE ARMAÇÃO E CONCRETO ESTRUTURAL</v>
      </c>
      <c r="E17" s="14" t="str">
        <f>Planilha!E17</f>
        <v>m</v>
      </c>
      <c r="F17" s="223" t="s">
        <v>239</v>
      </c>
      <c r="G17" s="223"/>
      <c r="H17" s="223" t="s">
        <v>65</v>
      </c>
      <c r="I17" s="223"/>
      <c r="J17" s="94">
        <v>418</v>
      </c>
    </row>
    <row r="18" spans="1:10" ht="130.5" customHeight="1" x14ac:dyDescent="0.25">
      <c r="A18" s="13" t="str">
        <f>Planilha!A18</f>
        <v>Setop</v>
      </c>
      <c r="B18" s="14" t="str">
        <f>Planilha!B18</f>
        <v>ED-49777</v>
      </c>
      <c r="C18" s="16" t="str">
        <f>Planilha!C18</f>
        <v>2.3</v>
      </c>
      <c r="D18" s="90" t="str">
        <f>Planilha!D18</f>
        <v>ESCAVAÇÃO MANUAL DE TUBULÃO A CÉU ABERTO, INCLUSIVE DESCARGA LATERAL</v>
      </c>
      <c r="E18" s="14" t="str">
        <f>Planilha!E18</f>
        <v>m³</v>
      </c>
      <c r="F18" s="223" t="s">
        <v>239</v>
      </c>
      <c r="G18" s="223"/>
      <c r="H18" s="223" t="s">
        <v>65</v>
      </c>
      <c r="I18" s="223"/>
      <c r="J18" s="94">
        <v>115</v>
      </c>
    </row>
    <row r="19" spans="1:10" ht="130.5" customHeight="1" x14ac:dyDescent="0.25">
      <c r="A19" s="13" t="str">
        <f>Planilha!A19</f>
        <v>Setop</v>
      </c>
      <c r="B19" s="14" t="str">
        <f>Planilha!B19</f>
        <v xml:space="preserve">ED-15690 </v>
      </c>
      <c r="C19" s="16" t="str">
        <f>Planilha!C19</f>
        <v>2.4</v>
      </c>
      <c r="D19" s="90" t="str">
        <f>Planilha!D19</f>
        <v>FÔRMA E DESFORMA PARA CORTINA DE CONCRETO OU PAREDE ESTRUTURAL (VIGA-PAREDE), ALTURA MÁXIMA DE 360CM, COM CHAPA DE COMPENSADO PLASTIFICADO, ESP. 18MM, REAPROVEITAMENTO (3X), INCLUSIVE TRAVAMENTO COM TIRANTES EM ARAME E ESCORA PARA PRUMO EM MADEIRA</v>
      </c>
      <c r="E19" s="14" t="str">
        <f>Planilha!E19</f>
        <v>m²</v>
      </c>
      <c r="F19" s="223" t="s">
        <v>239</v>
      </c>
      <c r="G19" s="223"/>
      <c r="H19" s="223" t="s">
        <v>257</v>
      </c>
      <c r="I19" s="223"/>
      <c r="J19" s="94">
        <f>886.47/3</f>
        <v>295.49</v>
      </c>
    </row>
    <row r="20" spans="1:10" ht="192.75" customHeight="1" x14ac:dyDescent="0.25">
      <c r="A20" s="13" t="str">
        <f>Planilha!A20</f>
        <v>Setop</v>
      </c>
      <c r="B20" s="14" t="str">
        <f>Planilha!B20</f>
        <v>ED-48298</v>
      </c>
      <c r="C20" s="16" t="str">
        <f>Planilha!C20</f>
        <v>2.5</v>
      </c>
      <c r="D20" s="90" t="str">
        <f>Planilha!D20</f>
        <v>CORTE, DOBRA E MONTAGEM DE AÇO CA-50/60, INCLUSIVE ESPAÇADOR</v>
      </c>
      <c r="E20" s="14" t="str">
        <f>Planilha!E20</f>
        <v>kg</v>
      </c>
      <c r="F20" s="223" t="s">
        <v>239</v>
      </c>
      <c r="G20" s="223"/>
      <c r="H20" s="223" t="s">
        <v>270</v>
      </c>
      <c r="I20" s="223"/>
      <c r="J20" s="94">
        <f>(1329*1.85)+(5*2.936)+(250*4.735)+((223-80)*7.398)+(230*11.56)+(153*18.94)+(220*29.594)</f>
        <v>16782.294000000002</v>
      </c>
    </row>
    <row r="21" spans="1:10" ht="192.75" customHeight="1" x14ac:dyDescent="0.25">
      <c r="A21" s="13" t="str">
        <f>Planilha!A21</f>
        <v>Setop</v>
      </c>
      <c r="B21" s="14" t="str">
        <f>Planilha!B21</f>
        <v>ED-48298</v>
      </c>
      <c r="C21" s="16" t="str">
        <f>Planilha!C21</f>
        <v>2.6</v>
      </c>
      <c r="D21" s="90" t="str">
        <f>Planilha!D21</f>
        <v>FORNECIMENTO DE CONCRETO ESTRUTURAL, USINADO BOMBEADO, COM FCK 25MPA, INCLUSIVE LANÇAMENTO, ADENSAMENTO E ACABAMENTO</v>
      </c>
      <c r="E21" s="14" t="str">
        <f>Planilha!E21</f>
        <v>m³</v>
      </c>
      <c r="F21" s="223" t="s">
        <v>239</v>
      </c>
      <c r="G21" s="223"/>
      <c r="H21" s="223" t="s">
        <v>65</v>
      </c>
      <c r="I21" s="223"/>
      <c r="J21" s="94">
        <v>208.14</v>
      </c>
    </row>
    <row r="22" spans="1:10" ht="117.75" customHeight="1" x14ac:dyDescent="0.25">
      <c r="A22" s="13" t="str">
        <f>Planilha!A22</f>
        <v>Setop</v>
      </c>
      <c r="B22" s="14" t="str">
        <f>Planilha!B22</f>
        <v>ED-48214</v>
      </c>
      <c r="C22" s="16" t="str">
        <f>Planilha!C22</f>
        <v>2.7</v>
      </c>
      <c r="D22" s="90" t="str">
        <f>Planilha!D22</f>
        <v>ALVENARIA DE BLOCO DE CONCRETO CHEIO COM ARMAÇÃO, EM CONCRETO COM FCK 15MPA , ESP. 19CM, PARA REVESTIMENTO, INCLUSIVE ARGAMASSA PARA ASSENTAMENTO (DETALHE D - CADERNO SEDS)</v>
      </c>
      <c r="E22" s="14" t="str">
        <f>Planilha!E22</f>
        <v>m²</v>
      </c>
      <c r="F22" s="223" t="s">
        <v>239</v>
      </c>
      <c r="G22" s="223"/>
      <c r="H22" s="223" t="s">
        <v>271</v>
      </c>
      <c r="I22" s="223"/>
      <c r="J22" s="94">
        <f>0.2*0.4*2775</f>
        <v>222.00000000000006</v>
      </c>
    </row>
    <row r="23" spans="1:10" ht="408.75" customHeight="1" x14ac:dyDescent="0.25">
      <c r="A23" s="13" t="str">
        <f>Planilha!A23</f>
        <v>Setop</v>
      </c>
      <c r="B23" s="14" t="str">
        <f>Planilha!B23</f>
        <v>ED-50764</v>
      </c>
      <c r="C23" s="16" t="str">
        <f>Planilha!C23</f>
        <v>2.8</v>
      </c>
      <c r="D23" s="90" t="str">
        <f>Planilha!D23</f>
        <v>REVESTIMENTO COM IMPERMEABILIZANTE EM DUAS (2) CAMADAS SOBREPOSTAS DE ARGAMASSA, TRAÇO 1:3 (CIMENTO E AREIA) COM ADITIVO IMPERMEABILIZANTE, ESP. 20MM, INCLUSIVE PINTURA COM DUAS (2) DEMÃOS COM EMULSÃO ASFÁLTICA</v>
      </c>
      <c r="E23" s="14" t="str">
        <f>Planilha!E23</f>
        <v>m²</v>
      </c>
      <c r="F23" s="223" t="s">
        <v>239</v>
      </c>
      <c r="G23" s="223"/>
      <c r="H23" s="224" t="s">
        <v>266</v>
      </c>
      <c r="I23" s="224"/>
      <c r="J23" s="94">
        <f>(22.14+22.43+9.79+5.05+18.3+40.05+32.25+33.64+45.74+34.85+29+80.91+38.8+33.1+18.32)*2</f>
        <v>928.74</v>
      </c>
    </row>
    <row r="24" spans="1:10" ht="130.5" customHeight="1" x14ac:dyDescent="0.25">
      <c r="A24" s="13" t="str">
        <f>Planilha!A24</f>
        <v>setop</v>
      </c>
      <c r="B24" s="14" t="str">
        <f>Planilha!B24</f>
        <v>RO-43118</v>
      </c>
      <c r="C24" s="16" t="str">
        <f>Planilha!C24</f>
        <v>2.9</v>
      </c>
      <c r="D24" s="90" t="str">
        <f>Planilha!D24</f>
        <v>COLCHÃO DRENANTE DE BRITA COM GEOTEXTIL NÃO TECIDO (EXECUÇÃO, INCLUINDO ESPALHAMENTO E FORNECIMENTO DE TODOS OS MATERIAIS, EXCETO TRANSPORTE DOS AGREGADOS)</v>
      </c>
      <c r="E24" s="14" t="str">
        <f>Planilha!E24</f>
        <v>m³</v>
      </c>
      <c r="F24" s="223" t="s">
        <v>239</v>
      </c>
      <c r="G24" s="223"/>
      <c r="H24" s="223" t="s">
        <v>267</v>
      </c>
      <c r="I24" s="223"/>
      <c r="J24" s="94">
        <f>0.2*464.37</f>
        <v>92.874000000000009</v>
      </c>
    </row>
    <row r="25" spans="1:10" ht="130.5" customHeight="1" x14ac:dyDescent="0.25">
      <c r="A25" s="13" t="str">
        <f>Planilha!A25</f>
        <v>setop</v>
      </c>
      <c r="B25" s="14" t="str">
        <f>Planilha!B25</f>
        <v>ED-29233</v>
      </c>
      <c r="C25" s="16" t="str">
        <f>Planilha!C25</f>
        <v>2.10</v>
      </c>
      <c r="D25" s="90" t="str">
        <f>Planilha!D25</f>
        <v>TRANSPORTE DE MATERIAL DE QUALQUER NATUREZA EM CAMINHÃO, DISTÂNCIA MAIOR QUE 10KM E MENOR OU IGUAL A 20KM, DENTRO DO PERÍMETRO URBANO, EXCLUSIVE CARGA, INCLUSIVE DESCARGA</v>
      </c>
      <c r="E25" s="14" t="str">
        <f>Planilha!E25</f>
        <v>m³ x Km</v>
      </c>
      <c r="F25" s="223" t="s">
        <v>239</v>
      </c>
      <c r="G25" s="223"/>
      <c r="H25" s="223" t="s">
        <v>276</v>
      </c>
      <c r="I25" s="223"/>
      <c r="J25" s="94">
        <f>J24*20</f>
        <v>1857.4800000000002</v>
      </c>
    </row>
    <row r="26" spans="1:10" ht="130.5" customHeight="1" thickBot="1" x14ac:dyDescent="0.3">
      <c r="A26" s="13" t="str">
        <f>Planilha!A26</f>
        <v>setop</v>
      </c>
      <c r="B26" s="14" t="str">
        <f>Planilha!B26</f>
        <v>ED-51096</v>
      </c>
      <c r="C26" s="16" t="str">
        <f>Planilha!C26</f>
        <v>2.11</v>
      </c>
      <c r="D26" s="90" t="str">
        <f>Planilha!D26</f>
        <v>COMPACTAÇÃO MECANIZADA DE ATERRO COM PLACA VIBRATÓRIA, INCLUSIVE ESPALHAMENTO MANUAL</v>
      </c>
      <c r="E26" s="14" t="str">
        <f>Planilha!E26</f>
        <v>m³</v>
      </c>
      <c r="F26" s="223" t="s">
        <v>240</v>
      </c>
      <c r="G26" s="223"/>
      <c r="H26" s="223" t="s">
        <v>65</v>
      </c>
      <c r="I26" s="223"/>
      <c r="J26" s="94">
        <v>508.62</v>
      </c>
    </row>
    <row r="27" spans="1:10" ht="25.15" customHeight="1" thickBot="1" x14ac:dyDescent="0.3">
      <c r="A27" s="3">
        <f>Planilha!A27</f>
        <v>3</v>
      </c>
      <c r="B27" s="225" t="str">
        <f>Planilha!B27</f>
        <v>DRENAGEM PLUVIAL</v>
      </c>
      <c r="C27" s="226"/>
      <c r="D27" s="226"/>
      <c r="E27" s="226"/>
      <c r="F27" s="226"/>
      <c r="G27" s="226"/>
      <c r="H27" s="226"/>
      <c r="I27" s="226"/>
      <c r="J27" s="227"/>
    </row>
    <row r="28" spans="1:10" ht="130.5" customHeight="1" thickBot="1" x14ac:dyDescent="0.3">
      <c r="A28" s="13" t="str">
        <f>Planilha!A28</f>
        <v>setop</v>
      </c>
      <c r="B28" s="14" t="str">
        <f>Planilha!B28</f>
        <v xml:space="preserve">ED-48630 </v>
      </c>
      <c r="C28" s="16" t="str">
        <f>Planilha!C28</f>
        <v>3.1</v>
      </c>
      <c r="D28" s="90" t="str">
        <f>Planilha!D28</f>
        <v>POÇO DE VISITA PARA REDE TUBULAR TIPO A DN 500</v>
      </c>
      <c r="E28" s="14" t="str">
        <f>Planilha!E28</f>
        <v>U</v>
      </c>
      <c r="F28" s="223" t="s">
        <v>241</v>
      </c>
      <c r="G28" s="223"/>
      <c r="H28" s="223" t="s">
        <v>280</v>
      </c>
      <c r="I28" s="223"/>
      <c r="J28" s="94">
        <v>2</v>
      </c>
    </row>
    <row r="29" spans="1:10" ht="130.5" customHeight="1" x14ac:dyDescent="0.25">
      <c r="A29" s="13" t="str">
        <f>Planilha!A29</f>
        <v>setop</v>
      </c>
      <c r="B29" s="14" t="str">
        <f>Planilha!B29</f>
        <v>ED-48550</v>
      </c>
      <c r="C29" s="16" t="str">
        <f>Planilha!C29</f>
        <v>3.2</v>
      </c>
      <c r="D29" s="90" t="str">
        <f>Planilha!D29</f>
        <v>BOCA DE LOBO SIMPLES (TIPO B - CONCRETO), QUADRO, GRELHA E CANTONEIRA, INCLUSIVE ESCAVAÇÃO, REATERRO E BOTAFORA</v>
      </c>
      <c r="E29" s="14" t="str">
        <f>Planilha!E29</f>
        <v>U</v>
      </c>
      <c r="F29" s="223" t="s">
        <v>241</v>
      </c>
      <c r="G29" s="223"/>
      <c r="H29" s="223" t="s">
        <v>65</v>
      </c>
      <c r="I29" s="223"/>
      <c r="J29" s="92">
        <v>1</v>
      </c>
    </row>
    <row r="30" spans="1:10" ht="130.5" customHeight="1" x14ac:dyDescent="0.25">
      <c r="A30" s="13" t="str">
        <f>Planilha!A30</f>
        <v>setop</v>
      </c>
      <c r="B30" s="14" t="str">
        <f>Planilha!B30</f>
        <v>ED-48551</v>
      </c>
      <c r="C30" s="16" t="str">
        <f>Planilha!C30</f>
        <v>3.3</v>
      </c>
      <c r="D30" s="90" t="str">
        <f>Planilha!D30</f>
        <v>BOCA DE LOBO DUPLA (TIPO B - CONCRETO), QUADRO, GRELHA E  CANTONEIRA, INCLUSIVE ESCAVAÇÃO, REATERRO E BOTA-FORA</v>
      </c>
      <c r="E30" s="14" t="str">
        <f>Planilha!E30</f>
        <v>U</v>
      </c>
      <c r="F30" s="223" t="s">
        <v>241</v>
      </c>
      <c r="G30" s="223"/>
      <c r="H30" s="223" t="s">
        <v>65</v>
      </c>
      <c r="I30" s="223"/>
      <c r="J30" s="94">
        <v>4</v>
      </c>
    </row>
    <row r="31" spans="1:10" ht="130.5" customHeight="1" x14ac:dyDescent="0.25">
      <c r="A31" s="13" t="str">
        <f>Planilha!A31</f>
        <v>setop</v>
      </c>
      <c r="B31" s="14" t="str">
        <f>Planilha!B31</f>
        <v>ED-48676</v>
      </c>
      <c r="C31" s="16" t="str">
        <f>Planilha!C31</f>
        <v>3.4</v>
      </c>
      <c r="D31" s="90" t="str">
        <f>Planilha!D31</f>
        <v>TUBO DE CONCRETO SIMPLES, CLASSE PS1, DIÂMETRO 400MM, INCLUSIVE FORNECIMENTO, ASSENTAMENTO E REJUNTAMENTO, EXCLUSIVE ESCAVAÇÃO</v>
      </c>
      <c r="E31" s="14" t="str">
        <f>Planilha!E31</f>
        <v>m</v>
      </c>
      <c r="F31" s="223" t="s">
        <v>241</v>
      </c>
      <c r="G31" s="223"/>
      <c r="H31" s="223" t="s">
        <v>65</v>
      </c>
      <c r="I31" s="223"/>
      <c r="J31" s="94">
        <v>113</v>
      </c>
    </row>
    <row r="32" spans="1:10" ht="130.5" customHeight="1" x14ac:dyDescent="0.25">
      <c r="A32" s="13" t="str">
        <f>Planilha!A32</f>
        <v>setop</v>
      </c>
      <c r="B32" s="14" t="str">
        <f>Planilha!B32</f>
        <v>ED-48677</v>
      </c>
      <c r="C32" s="16" t="str">
        <f>Planilha!C32</f>
        <v>3.5</v>
      </c>
      <c r="D32" s="90" t="str">
        <f>Planilha!D32</f>
        <v>TUBO DE CONCRETO SIMPLES, CLASSE PS1, DIÂMETRO 500MM, INCLUSIVE FORNECIMENTO, ASSENTAMENTO E REJUNTAMENTO, EXCLUSIVE ESCAVAÇÃO</v>
      </c>
      <c r="E32" s="14" t="str">
        <f>Planilha!E32</f>
        <v>m</v>
      </c>
      <c r="F32" s="223" t="s">
        <v>241</v>
      </c>
      <c r="G32" s="223"/>
      <c r="H32" s="223" t="s">
        <v>65</v>
      </c>
      <c r="I32" s="223"/>
      <c r="J32" s="94">
        <v>12</v>
      </c>
    </row>
    <row r="33" spans="1:10" ht="130.5" customHeight="1" x14ac:dyDescent="0.25">
      <c r="A33" s="13" t="str">
        <f>Planilha!A33</f>
        <v>setop</v>
      </c>
      <c r="B33" s="14" t="str">
        <f>Planilha!B33</f>
        <v>ED-14746</v>
      </c>
      <c r="C33" s="16" t="str">
        <f>Planilha!C33</f>
        <v>3.6</v>
      </c>
      <c r="D33" s="90" t="str">
        <f>Planilha!D33</f>
        <v xml:space="preserve"> CANALETA PARA DRENAGEM, EM CONCRETO COM FCK 15MPA, MOLDADA IN LOCO, SEÇÃO 30X20CM, FORMA EM MADEIRA, COM GRELHA EM BARRA REDONDA DN 12,5MM (1/2") E REQUADRO EM BARRA REDONDA DN 20MM (3/4") COM UMA (1) DEMÃO DE FUNDO ANTICORROSIVO E DUAS (2) DEMÃOS DE PINTURA ESMALTE, INCLUSIVE ESCAVAÇÃO, REATERRO COM TRANSPORTE E RETIRADA DO MATERIAL ESCAVADO (EM CAÇAMBA)</v>
      </c>
      <c r="E33" s="14" t="str">
        <f>Planilha!E33</f>
        <v>m</v>
      </c>
      <c r="F33" s="223" t="s">
        <v>241</v>
      </c>
      <c r="G33" s="223"/>
      <c r="H33" s="223" t="s">
        <v>65</v>
      </c>
      <c r="I33" s="223"/>
      <c r="J33" s="94">
        <v>120</v>
      </c>
    </row>
    <row r="34" spans="1:10" ht="130.5" customHeight="1" x14ac:dyDescent="0.25">
      <c r="A34" s="13" t="str">
        <f>Planilha!A34</f>
        <v>setop</v>
      </c>
      <c r="B34" s="14" t="str">
        <f>Planilha!B34</f>
        <v>ED-14763</v>
      </c>
      <c r="C34" s="16" t="str">
        <f>Planilha!C34</f>
        <v>3.7</v>
      </c>
      <c r="D34" s="90" t="str">
        <f>Planilha!D34</f>
        <v>SARJETA DE CONCRETO URBANO (SCU), TIPO 2, COM FCK 15 MPA , LARGURA DE 50CM COM INCLINAÇÃO DE 15%, ESP. 7CM, PADRÃO DER-MG, EXCLUSIVE MEIO-FIO, INCLUSIVE ESCAVAÇÃO, APILAOMENTO E TRANSPORTE COM RETIRADA DO MATERIAL ESCAVADO (EM CAÇAMBA)</v>
      </c>
      <c r="E34" s="14" t="str">
        <f>Planilha!E34</f>
        <v>m</v>
      </c>
      <c r="F34" s="223" t="s">
        <v>241</v>
      </c>
      <c r="G34" s="223"/>
      <c r="H34" s="223" t="s">
        <v>65</v>
      </c>
      <c r="I34" s="223"/>
      <c r="J34" s="94">
        <v>145</v>
      </c>
    </row>
    <row r="35" spans="1:10" ht="130.5" customHeight="1" x14ac:dyDescent="0.25">
      <c r="A35" s="13" t="str">
        <f>Planilha!A35</f>
        <v>setop</v>
      </c>
      <c r="B35" s="14" t="str">
        <f>Planilha!B35</f>
        <v>ED-51139</v>
      </c>
      <c r="C35" s="16" t="str">
        <f>Planilha!C35</f>
        <v>3.8</v>
      </c>
      <c r="D35" s="90" t="str">
        <f>Planilha!D35</f>
        <v>GUIA DE MEIO-FIO, EM CONCRETO COM FCK 20MPA, PRÉMOLDADA, MFC-01 PADRÃO DER-MG, DIMENSÕES (12X16,7X35)CM, EXCLUSIVE SARJETA, INCLUSIVE ESCAVAÇÃO, APILOAMENTO E TRANSPORTE COM RETIRADA DO MATERIAL ESCAVADO (EM CAÇAMBA)</v>
      </c>
      <c r="E35" s="14" t="str">
        <f>Planilha!E35</f>
        <v>m</v>
      </c>
      <c r="F35" s="223" t="s">
        <v>240</v>
      </c>
      <c r="G35" s="223"/>
      <c r="H35" s="223" t="s">
        <v>65</v>
      </c>
      <c r="I35" s="223"/>
      <c r="J35" s="94">
        <f>163.25</f>
        <v>163.25</v>
      </c>
    </row>
    <row r="36" spans="1:10" ht="130.5" customHeight="1" x14ac:dyDescent="0.25">
      <c r="A36" s="13" t="str">
        <f>Planilha!A36</f>
        <v>setop</v>
      </c>
      <c r="B36" s="14" t="str">
        <f>Planilha!B36</f>
        <v xml:space="preserve">ED-48539 </v>
      </c>
      <c r="C36" s="16" t="str">
        <f>Planilha!C36</f>
        <v>3.9</v>
      </c>
      <c r="D36" s="90" t="str">
        <f>Planilha!D36</f>
        <v>ALA DE REDE TUBULAR DN 500, EXCLUSIVE BOTA FORA</v>
      </c>
      <c r="E36" s="14" t="str">
        <f>Planilha!E36</f>
        <v>U</v>
      </c>
      <c r="F36" s="223" t="s">
        <v>241</v>
      </c>
      <c r="G36" s="223"/>
      <c r="H36" s="223" t="s">
        <v>65</v>
      </c>
      <c r="I36" s="223"/>
      <c r="J36" s="94">
        <v>1</v>
      </c>
    </row>
    <row r="37" spans="1:10" ht="130.5" customHeight="1" thickBot="1" x14ac:dyDescent="0.3">
      <c r="A37" s="13" t="str">
        <f>Planilha!A37</f>
        <v>setop</v>
      </c>
      <c r="B37" s="14" t="str">
        <f>Planilha!B37</f>
        <v>ED-48588</v>
      </c>
      <c r="C37" s="16" t="str">
        <f>Planilha!C37</f>
        <v>3.10</v>
      </c>
      <c r="D37" s="90" t="str">
        <f>Planilha!D37</f>
        <v>DESCIDA D´ÁGUA TIPO DEGRAU DN 500, EXCLUSIVE BOTA FORA</v>
      </c>
      <c r="E37" s="14" t="str">
        <f>Planilha!E37</f>
        <v>m</v>
      </c>
      <c r="F37" s="223" t="s">
        <v>241</v>
      </c>
      <c r="G37" s="223"/>
      <c r="H37" s="223" t="s">
        <v>65</v>
      </c>
      <c r="I37" s="223"/>
      <c r="J37" s="94">
        <v>5</v>
      </c>
    </row>
    <row r="38" spans="1:10" ht="25.15" customHeight="1" thickBot="1" x14ac:dyDescent="0.3">
      <c r="A38" s="3">
        <f>Planilha!A38</f>
        <v>4</v>
      </c>
      <c r="B38" s="225" t="str">
        <f>Planilha!B38</f>
        <v>INSTALAÇÕES ELÉTRICAS</v>
      </c>
      <c r="C38" s="226"/>
      <c r="D38" s="226"/>
      <c r="E38" s="226"/>
      <c r="F38" s="226"/>
      <c r="G38" s="226"/>
      <c r="H38" s="226"/>
      <c r="I38" s="226"/>
      <c r="J38" s="227"/>
    </row>
    <row r="39" spans="1:10" ht="130.5" customHeight="1" x14ac:dyDescent="0.25">
      <c r="A39" s="13" t="str">
        <f>Planilha!A39</f>
        <v>setop</v>
      </c>
      <c r="B39" s="14" t="str">
        <f>Planilha!B39</f>
        <v>ED-49001</v>
      </c>
      <c r="C39" s="16" t="str">
        <f>Planilha!C39</f>
        <v>4.1</v>
      </c>
      <c r="D39" s="90" t="str">
        <f>Planilha!D39</f>
        <v>CABO DE COBRE FLEXÍVEL, CLASSE 5, ISOLAMENTO TIPO EPR/HEPR, NÃO HALOGENADO, ANTICHAMA, TERMOFIXO, UNIPOLAR, SEÇÃO 16 MM2, 90°C, 0,6/1KV</v>
      </c>
      <c r="E39" s="14" t="str">
        <f>Planilha!E39</f>
        <v>m</v>
      </c>
      <c r="F39" s="223" t="s">
        <v>242</v>
      </c>
      <c r="G39" s="223"/>
      <c r="H39" s="223" t="s">
        <v>65</v>
      </c>
      <c r="I39" s="223"/>
      <c r="J39" s="92">
        <v>480</v>
      </c>
    </row>
    <row r="40" spans="1:10" ht="130.5" customHeight="1" x14ac:dyDescent="0.25">
      <c r="A40" s="13" t="str">
        <f>Planilha!A40</f>
        <v>setop</v>
      </c>
      <c r="B40" s="14" t="str">
        <f>Planilha!B40</f>
        <v>ED-48989</v>
      </c>
      <c r="C40" s="16" t="str">
        <f>Planilha!C40</f>
        <v>4.2</v>
      </c>
      <c r="D40" s="90" t="str">
        <f>Planilha!D40</f>
        <v>CABO DE COBRE FLEXÍVEL, CLASSE 5, ISOLAMENTO TIPO EPR/HEPR, NÃO HALOGENADO, ANTICHAMA, TERMOFIXO, UNIPOLAR, SEÇÃO 2,5 MM2, 90°C, 0,6/1KV</v>
      </c>
      <c r="E40" s="14" t="str">
        <f>Planilha!E40</f>
        <v>m</v>
      </c>
      <c r="F40" s="223" t="s">
        <v>242</v>
      </c>
      <c r="G40" s="223"/>
      <c r="H40" s="223" t="s">
        <v>65</v>
      </c>
      <c r="I40" s="223"/>
      <c r="J40" s="94">
        <v>300</v>
      </c>
    </row>
    <row r="41" spans="1:10" ht="130.5" customHeight="1" x14ac:dyDescent="0.25">
      <c r="A41" s="13" t="str">
        <f>Planilha!A41</f>
        <v>setop</v>
      </c>
      <c r="B41" s="14" t="str">
        <f>Planilha!B41</f>
        <v>ED-49132</v>
      </c>
      <c r="C41" s="16" t="str">
        <f>Planilha!C41</f>
        <v>4.3</v>
      </c>
      <c r="D41" s="90" t="str">
        <f>Planilha!D41</f>
        <v>CABO DE COBRE NU # 10 MM2, ENTERRADO, EXCLUSIVE ESCAVAÇÃO E REATERRO</v>
      </c>
      <c r="E41" s="14" t="str">
        <f>Planilha!E41</f>
        <v>m</v>
      </c>
      <c r="F41" s="223" t="s">
        <v>242</v>
      </c>
      <c r="G41" s="223"/>
      <c r="H41" s="223" t="s">
        <v>65</v>
      </c>
      <c r="I41" s="223"/>
      <c r="J41" s="94">
        <v>50</v>
      </c>
    </row>
    <row r="42" spans="1:10" ht="130.5" customHeight="1" x14ac:dyDescent="0.25">
      <c r="A42" s="13" t="str">
        <f>Planilha!A42</f>
        <v>setop</v>
      </c>
      <c r="B42" s="14" t="str">
        <f>Planilha!B42</f>
        <v xml:space="preserve">ED-49343 </v>
      </c>
      <c r="C42" s="16" t="str">
        <f>Planilha!C42</f>
        <v>4.4</v>
      </c>
      <c r="D42" s="90" t="str">
        <f>Planilha!D42</f>
        <v>HASTE DE AÇO COBREADA PARA ATERRAMENTO DIÂMETRO 3/4"X 2400 MM,CONFORME PADRÕES TELEBRÁS</v>
      </c>
      <c r="E42" s="14" t="str">
        <f>Planilha!E42</f>
        <v>U</v>
      </c>
      <c r="F42" s="223" t="s">
        <v>242</v>
      </c>
      <c r="G42" s="223"/>
      <c r="H42" s="223" t="s">
        <v>65</v>
      </c>
      <c r="I42" s="223"/>
      <c r="J42" s="94">
        <v>7</v>
      </c>
    </row>
    <row r="43" spans="1:10" ht="130.5" customHeight="1" x14ac:dyDescent="0.25">
      <c r="A43" s="13" t="str">
        <f>Planilha!A43</f>
        <v>setop</v>
      </c>
      <c r="B43" s="14" t="str">
        <f>Planilha!B43</f>
        <v>ED-49170</v>
      </c>
      <c r="C43" s="16" t="str">
        <f>Planilha!C43</f>
        <v>4.5</v>
      </c>
      <c r="D43" s="90" t="str">
        <f>Planilha!D43</f>
        <v>CAIXA DE PASSAGEM EM ALVENARIA E TAMPA DE CONCRETO, FUNDO DE BRITA, TIPO 1, 50 X 50 X 60 CM, INCLUSIVE
ESCAVAÇÃO, REATERRO E BOTA-FORA</v>
      </c>
      <c r="E43" s="14" t="str">
        <f>Planilha!E43</f>
        <v>un</v>
      </c>
      <c r="F43" s="223" t="s">
        <v>242</v>
      </c>
      <c r="G43" s="223"/>
      <c r="H43" s="223" t="s">
        <v>65</v>
      </c>
      <c r="I43" s="223"/>
      <c r="J43" s="94">
        <v>8</v>
      </c>
    </row>
    <row r="44" spans="1:10" ht="130.5" customHeight="1" thickBot="1" x14ac:dyDescent="0.3">
      <c r="A44" s="13" t="str">
        <f>Planilha!A44</f>
        <v>setop</v>
      </c>
      <c r="B44" s="14" t="str">
        <f>Planilha!B44</f>
        <v>ED-49311</v>
      </c>
      <c r="C44" s="16" t="str">
        <f>Planilha!C44</f>
        <v>4.6</v>
      </c>
      <c r="D44" s="90" t="str">
        <f>Planilha!D44</f>
        <v>ELETRODUTO DE PVC RÍGIDO ROSCÁVEL, DN 40 MM (1.1/2"), INCLUSIVE CONEXÕES, SUPORTES E FIXAÇÃO</v>
      </c>
      <c r="E44" s="14" t="str">
        <f>Planilha!E44</f>
        <v>m</v>
      </c>
      <c r="F44" s="223" t="s">
        <v>242</v>
      </c>
      <c r="G44" s="223"/>
      <c r="H44" s="223" t="s">
        <v>65</v>
      </c>
      <c r="I44" s="223"/>
      <c r="J44" s="94">
        <v>160</v>
      </c>
    </row>
    <row r="45" spans="1:10" ht="25.15" customHeight="1" thickBot="1" x14ac:dyDescent="0.3">
      <c r="A45" s="3">
        <f>Planilha!A45</f>
        <v>5</v>
      </c>
      <c r="B45" s="225" t="str">
        <f>Planilha!B45</f>
        <v>PAVIMENTAÇÃO</v>
      </c>
      <c r="C45" s="226"/>
      <c r="D45" s="226"/>
      <c r="E45" s="226"/>
      <c r="F45" s="226"/>
      <c r="G45" s="226"/>
      <c r="H45" s="226"/>
      <c r="I45" s="226"/>
      <c r="J45" s="227"/>
    </row>
    <row r="46" spans="1:10" ht="130.5" customHeight="1" x14ac:dyDescent="0.25">
      <c r="A46" s="13" t="str">
        <f>Planilha!A46</f>
        <v>setop</v>
      </c>
      <c r="B46" s="14" t="str">
        <f>Planilha!B46</f>
        <v xml:space="preserve">ED-51124 </v>
      </c>
      <c r="C46" s="16" t="str">
        <f>Planilha!C46</f>
        <v>5.1</v>
      </c>
      <c r="D46" s="90" t="str">
        <f>Planilha!D46</f>
        <v>REGULARIZAÇÃO E COMPACTAÇÃO MECÂNICA DE TERRENO COM ROLO VIBRATÓRIO, EXCLUSIVE DESMATAMENTO, DESTOCAMENTO, LIMPEZA/ROÇADA DO TERRENO</v>
      </c>
      <c r="E46" s="14" t="str">
        <f>Planilha!E46</f>
        <v>m²</v>
      </c>
      <c r="F46" s="223" t="s">
        <v>240</v>
      </c>
      <c r="G46" s="223"/>
      <c r="H46" s="223" t="s">
        <v>243</v>
      </c>
      <c r="I46" s="223"/>
      <c r="J46" s="92">
        <f>138.95*6</f>
        <v>833.69999999999993</v>
      </c>
    </row>
    <row r="47" spans="1:10" ht="130.5" customHeight="1" x14ac:dyDescent="0.25">
      <c r="A47" s="13" t="str">
        <f>Planilha!A47</f>
        <v>setop</v>
      </c>
      <c r="B47" s="14" t="str">
        <f>Planilha!B47</f>
        <v xml:space="preserve">RO-41081 </v>
      </c>
      <c r="C47" s="16" t="str">
        <f>Planilha!C47</f>
        <v>5.2</v>
      </c>
      <c r="D47" s="90" t="str">
        <f>Planilha!D47</f>
        <v>REGULARIZAÇÃO DO SUB-LEITO (PROCTOR NORMAL)</v>
      </c>
      <c r="E47" s="14" t="str">
        <f>Planilha!E47</f>
        <v>m²</v>
      </c>
      <c r="F47" s="223" t="s">
        <v>240</v>
      </c>
      <c r="G47" s="223"/>
      <c r="H47" s="223" t="s">
        <v>65</v>
      </c>
      <c r="I47" s="223"/>
      <c r="J47" s="94">
        <f>J46</f>
        <v>833.69999999999993</v>
      </c>
    </row>
    <row r="48" spans="1:10" ht="130.5" customHeight="1" x14ac:dyDescent="0.25">
      <c r="A48" s="13" t="str">
        <f>Planilha!A48</f>
        <v>setop</v>
      </c>
      <c r="B48" s="14" t="str">
        <f>Planilha!B48</f>
        <v>RO-43113</v>
      </c>
      <c r="C48" s="16" t="str">
        <f>Planilha!C48</f>
        <v>5.3</v>
      </c>
      <c r="D48" s="90" t="str">
        <f>Planilha!D48</f>
        <v>BASE DE SOLO SEM MISTURA, COMPACTADA NA ENERGIA DO PROCTOR INTERMEDIÁRIO (EXECUÇÃO, INCLUINDO ESCAVAÇÃO, CARGA, DESCARGA, ESPALHAMENTO, UMIDECIMENTO E COMPACTAÇÃO DO MATERIAL; EXCLUI AQUISIÇÃO E TRANSPORTE DO MATERIAL)</v>
      </c>
      <c r="E48" s="14" t="str">
        <f>Planilha!E48</f>
        <v>m³</v>
      </c>
      <c r="F48" s="223" t="s">
        <v>240</v>
      </c>
      <c r="G48" s="223"/>
      <c r="H48" s="223" t="s">
        <v>244</v>
      </c>
      <c r="I48" s="223"/>
      <c r="J48" s="94">
        <f>0.2*833.7</f>
        <v>166.74</v>
      </c>
    </row>
    <row r="49" spans="1:10" ht="130.5" customHeight="1" thickBot="1" x14ac:dyDescent="0.3">
      <c r="A49" s="13" t="str">
        <f>Planilha!A49</f>
        <v>setop</v>
      </c>
      <c r="B49" s="14" t="str">
        <f>Planilha!B49</f>
        <v>ED-50420</v>
      </c>
      <c r="C49" s="16" t="str">
        <f>Planilha!C49</f>
        <v>5.4</v>
      </c>
      <c r="D49" s="90" t="str">
        <f>Planilha!D49</f>
        <v>EXECUÇÃO DE PAVIMENTO INTERTRAVADO, ESPESSURA 10CM, FCK 40MPA, INCLUINDO FORNECIMENTO E TRANSPORTE DE TODOS OS MATERIAIS E COLCHÃO DE ASSENTAMENTO COM ESPESSURA 6CM</v>
      </c>
      <c r="E49" s="14" t="str">
        <f>Planilha!E49</f>
        <v>m²</v>
      </c>
      <c r="F49" s="223" t="s">
        <v>240</v>
      </c>
      <c r="G49" s="223"/>
      <c r="H49" s="223" t="s">
        <v>65</v>
      </c>
      <c r="I49" s="223"/>
      <c r="J49" s="94">
        <f>J46</f>
        <v>833.69999999999993</v>
      </c>
    </row>
    <row r="50" spans="1:10" ht="25.15" customHeight="1" thickBot="1" x14ac:dyDescent="0.3">
      <c r="A50" s="3">
        <f>Planilha!A50</f>
        <v>6</v>
      </c>
      <c r="B50" s="225" t="str">
        <f>Planilha!B50</f>
        <v>CALÇADA</v>
      </c>
      <c r="C50" s="226"/>
      <c r="D50" s="226"/>
      <c r="E50" s="226"/>
      <c r="F50" s="226"/>
      <c r="G50" s="226"/>
      <c r="H50" s="226"/>
      <c r="I50" s="226"/>
      <c r="J50" s="227"/>
    </row>
    <row r="51" spans="1:10" ht="130.5" customHeight="1" x14ac:dyDescent="0.25">
      <c r="A51" s="13" t="str">
        <f>Planilha!A51</f>
        <v>setop</v>
      </c>
      <c r="B51" s="14" t="str">
        <f>Planilha!B51</f>
        <v xml:space="preserve">ED-51124 </v>
      </c>
      <c r="C51" s="16" t="str">
        <f>Planilha!C51</f>
        <v>6.1</v>
      </c>
      <c r="D51" s="90" t="str">
        <f>Planilha!D51</f>
        <v>REGULARIZAÇÃO E COMPACTAÇÃO MECÂNICA DE TERRENO COM ROLO VIBRATÓRIO, EXCLUSIVE DESMATAMENTO, DESTOCAMENTO, LIMPEZA/ROÇADA DO TERRENO</v>
      </c>
      <c r="E51" s="14" t="str">
        <f>Planilha!E51</f>
        <v>m²</v>
      </c>
      <c r="F51" s="223" t="s">
        <v>240</v>
      </c>
      <c r="G51" s="223"/>
      <c r="H51" s="223" t="s">
        <v>245</v>
      </c>
      <c r="I51" s="223"/>
      <c r="J51" s="92">
        <f>149.75*3</f>
        <v>449.25</v>
      </c>
    </row>
    <row r="52" spans="1:10" ht="130.5" customHeight="1" x14ac:dyDescent="0.25">
      <c r="A52" s="13" t="str">
        <f>Planilha!A52</f>
        <v>setop</v>
      </c>
      <c r="B52" s="14" t="str">
        <f>Planilha!B52</f>
        <v xml:space="preserve">RO-41081 </v>
      </c>
      <c r="C52" s="16" t="str">
        <f>Planilha!C52</f>
        <v>6.2</v>
      </c>
      <c r="D52" s="90" t="str">
        <f>Planilha!D52</f>
        <v>REGULARIZAÇÃO DO SUB-LEITO (PROCTOR NORMAL)</v>
      </c>
      <c r="E52" s="14" t="str">
        <f>Planilha!E52</f>
        <v>m²</v>
      </c>
      <c r="F52" s="223" t="s">
        <v>240</v>
      </c>
      <c r="G52" s="223"/>
      <c r="H52" s="223" t="s">
        <v>65</v>
      </c>
      <c r="I52" s="223"/>
      <c r="J52" s="94">
        <f>J51</f>
        <v>449.25</v>
      </c>
    </row>
    <row r="53" spans="1:10" ht="130.5" customHeight="1" x14ac:dyDescent="0.25">
      <c r="A53" s="13" t="str">
        <f>Planilha!A53</f>
        <v>setop</v>
      </c>
      <c r="B53" s="14" t="str">
        <f>Planilha!B53</f>
        <v>RO-43113</v>
      </c>
      <c r="C53" s="16" t="str">
        <f>Planilha!C53</f>
        <v>6.3</v>
      </c>
      <c r="D53" s="90" t="str">
        <f>Planilha!D53</f>
        <v>BASE DE SOLO SEM MISTURA, COMPACTADA NA ENERGIA DO PROCTOR INTERMEDIÁRIO (EXECUÇÃO, INCLUINDO ESCAVAÇÃO, CARGA, DESCARGA, ESPALHAMENTO, UMIDECIMENTO E COMPACTAÇÃO DO MATERIAL; EXCLUI AQUISIÇÃO E TRANSPORTE DO MATERIAL)</v>
      </c>
      <c r="E53" s="14" t="str">
        <f>Planilha!E53</f>
        <v>m³</v>
      </c>
      <c r="F53" s="223" t="s">
        <v>240</v>
      </c>
      <c r="G53" s="223"/>
      <c r="H53" s="223" t="s">
        <v>246</v>
      </c>
      <c r="I53" s="223"/>
      <c r="J53" s="94">
        <f>0.2*449.25</f>
        <v>89.850000000000009</v>
      </c>
    </row>
    <row r="54" spans="1:10" ht="130.5" customHeight="1" x14ac:dyDescent="0.25">
      <c r="A54" s="13" t="str">
        <f>Planilha!A54</f>
        <v>setop</v>
      </c>
      <c r="B54" s="14" t="str">
        <f>Planilha!B54</f>
        <v>ED-49813</v>
      </c>
      <c r="C54" s="16" t="str">
        <f>Planilha!C54</f>
        <v>6.4</v>
      </c>
      <c r="D54" s="90" t="str">
        <f>Planilha!D54</f>
        <v>LASTRO DE BRITA COM PEDRA BRITADA NÚMERO 2 E 3, INCLUSIVE ADENSAMENTO E APILOAMENTO MANUAL</v>
      </c>
      <c r="E54" s="14" t="str">
        <f>Planilha!E54</f>
        <v>m³</v>
      </c>
      <c r="F54" s="223" t="s">
        <v>240</v>
      </c>
      <c r="G54" s="223"/>
      <c r="H54" s="223" t="s">
        <v>247</v>
      </c>
      <c r="I54" s="223"/>
      <c r="J54" s="94">
        <f>0.06*449.25</f>
        <v>26.954999999999998</v>
      </c>
    </row>
    <row r="55" spans="1:10" ht="130.5" customHeight="1" x14ac:dyDescent="0.25">
      <c r="A55" s="13" t="str">
        <f>Planilha!A55</f>
        <v>setop</v>
      </c>
      <c r="B55" s="14" t="str">
        <f>Planilha!B55</f>
        <v xml:space="preserve">ED-9320 </v>
      </c>
      <c r="C55" s="16" t="str">
        <f>Planilha!C55</f>
        <v>6.5</v>
      </c>
      <c r="D55" s="90" t="str">
        <f>Planilha!D55</f>
        <v>PISO EM CONCRETO, USINADO CONVENCIONAL, FCK 15MPA, COM TELA SOLDADA NERVURADA TIPO Q-138, ACABAMENTO POLÍDO EM NÍVEL ZERO, ESP. 10CM, INCLUSIVE FORNECIMENTO, LANÇAMENTO, ADENSAMENTO, EXCLUSIVE JUNTA DE DILATAÇÃO</v>
      </c>
      <c r="E55" s="14" t="str">
        <f>Planilha!E55</f>
        <v>m²</v>
      </c>
      <c r="F55" s="223" t="s">
        <v>240</v>
      </c>
      <c r="G55" s="223"/>
      <c r="H55" s="223" t="s">
        <v>65</v>
      </c>
      <c r="I55" s="223"/>
      <c r="J55" s="94">
        <v>333.47</v>
      </c>
    </row>
    <row r="56" spans="1:10" ht="130.5" customHeight="1" x14ac:dyDescent="0.25">
      <c r="A56" s="13" t="str">
        <f>Planilha!A56</f>
        <v>setop</v>
      </c>
      <c r="B56" s="14" t="str">
        <f>Planilha!B56</f>
        <v>ED-48227</v>
      </c>
      <c r="C56" s="16" t="str">
        <f>Planilha!C56</f>
        <v>6.6</v>
      </c>
      <c r="D56" s="90" t="str">
        <f>Planilha!D56</f>
        <v>ALVENARIA DE VEDAÇÃO COM TIJOLO MACIÇO REQUEIMADO, ESP. 10CM, PARA REVESTIMENTO, INCLUSIVE ARGAMASSA PARA ASSENTAMENTO</v>
      </c>
      <c r="E56" s="14" t="str">
        <f>Planilha!E56</f>
        <v>m²</v>
      </c>
      <c r="F56" s="223" t="s">
        <v>258</v>
      </c>
      <c r="G56" s="223"/>
      <c r="H56" s="223" t="s">
        <v>259</v>
      </c>
      <c r="I56" s="223"/>
      <c r="J56" s="94">
        <f>14*(5.22+5.22)*0.1</f>
        <v>14.616</v>
      </c>
    </row>
    <row r="57" spans="1:10" ht="130.5" customHeight="1" x14ac:dyDescent="0.25">
      <c r="A57" s="13" t="str">
        <f>Planilha!A57</f>
        <v>setop</v>
      </c>
      <c r="B57" s="14" t="str">
        <f>Planilha!B57</f>
        <v xml:space="preserve">ED-50727 </v>
      </c>
      <c r="C57" s="16" t="str">
        <f>Planilha!C57</f>
        <v>6.7</v>
      </c>
      <c r="D57" s="90" t="str">
        <f>Planilha!D57</f>
        <v>CHAPISCO COM ARGAMASSA, TRAÇO 1:3 (CIMENTO E AREIA), ESP . 5MM, APLICADO EM ALVENARIA/ESTRUTURA DE CONCRETO COM COLHER, PREPARO MECÂNICO</v>
      </c>
      <c r="E57" s="14" t="str">
        <f>Planilha!E57</f>
        <v>m²</v>
      </c>
      <c r="F57" s="223" t="s">
        <v>240</v>
      </c>
      <c r="G57" s="223"/>
      <c r="H57" s="223" t="s">
        <v>248</v>
      </c>
      <c r="I57" s="223"/>
      <c r="J57" s="94">
        <f>14.62*2</f>
        <v>29.24</v>
      </c>
    </row>
    <row r="58" spans="1:10" ht="130.5" customHeight="1" x14ac:dyDescent="0.25">
      <c r="A58" s="13" t="str">
        <f>Planilha!A58</f>
        <v>setop</v>
      </c>
      <c r="B58" s="14" t="str">
        <f>Planilha!B58</f>
        <v>ED-50732</v>
      </c>
      <c r="C58" s="16" t="str">
        <f>Planilha!C58</f>
        <v>6.8</v>
      </c>
      <c r="D58" s="90" t="str">
        <f>Planilha!D58</f>
        <v>EMBOÇO COM ARGAMASSA, TRAÇO 1:6 (CIMENTO E AREIA), ESP. 20MM, APLICAÇÃO MANUAL, PREPARO MECÂNICO</v>
      </c>
      <c r="E58" s="14" t="str">
        <f>Planilha!E58</f>
        <v>m²</v>
      </c>
      <c r="F58" s="223" t="s">
        <v>240</v>
      </c>
      <c r="G58" s="223"/>
      <c r="H58" s="223" t="s">
        <v>65</v>
      </c>
      <c r="I58" s="223"/>
      <c r="J58" s="94">
        <f>J57</f>
        <v>29.24</v>
      </c>
    </row>
    <row r="59" spans="1:10" ht="130.5" customHeight="1" x14ac:dyDescent="0.25">
      <c r="A59" s="13" t="str">
        <f>Planilha!A59</f>
        <v>setop</v>
      </c>
      <c r="B59" s="14" t="str">
        <f>Planilha!B59</f>
        <v xml:space="preserve">ED-50761 </v>
      </c>
      <c r="C59" s="16" t="str">
        <f>Planilha!C59</f>
        <v>6.9</v>
      </c>
      <c r="D59" s="90" t="str">
        <f>Planilha!D59</f>
        <v>REBOCO COM ARGAMASSA, TRAÇO 1:2:8 (CIMENTO, CAL E AREIA), ESP. 20MM, APLICAÇÃO MANUAL, PREPARO MECÂNICO</v>
      </c>
      <c r="E59" s="14" t="str">
        <f>Planilha!E59</f>
        <v>m²</v>
      </c>
      <c r="F59" s="223" t="s">
        <v>240</v>
      </c>
      <c r="G59" s="223"/>
      <c r="H59" s="223" t="s">
        <v>65</v>
      </c>
      <c r="I59" s="223"/>
      <c r="J59" s="94">
        <f>J57</f>
        <v>29.24</v>
      </c>
    </row>
    <row r="60" spans="1:10" ht="130.5" customHeight="1" x14ac:dyDescent="0.25">
      <c r="A60" s="13" t="str">
        <f>Planilha!A60</f>
        <v>setop</v>
      </c>
      <c r="B60" s="14" t="str">
        <f>Planilha!B60</f>
        <v xml:space="preserve">ED-50514 </v>
      </c>
      <c r="C60" s="16" t="str">
        <f>Planilha!C60</f>
        <v>6.10</v>
      </c>
      <c r="D60" s="90" t="str">
        <f>Planilha!D60</f>
        <v>PREPARAÇÃO PARA EMASSAMENTO OU PINTURA (LÁTEX/ACRÍLICA) EM PAREDE, INCLUSIVE UMA (1) DEMÃO DE SELADORACRÍLICO</v>
      </c>
      <c r="E60" s="14" t="str">
        <f>Planilha!E60</f>
        <v>m²</v>
      </c>
      <c r="F60" s="223" t="s">
        <v>240</v>
      </c>
      <c r="G60" s="223"/>
      <c r="H60" s="223" t="s">
        <v>65</v>
      </c>
      <c r="I60" s="223"/>
      <c r="J60" s="94">
        <f>J57</f>
        <v>29.24</v>
      </c>
    </row>
    <row r="61" spans="1:10" ht="130.5" customHeight="1" x14ac:dyDescent="0.25">
      <c r="A61" s="13" t="str">
        <f>Planilha!A61</f>
        <v>setop</v>
      </c>
      <c r="B61" s="14" t="str">
        <f>Planilha!B61</f>
        <v xml:space="preserve">ED-50451 </v>
      </c>
      <c r="C61" s="16" t="str">
        <f>Planilha!C61</f>
        <v>6.11</v>
      </c>
      <c r="D61" s="90" t="str">
        <f>Planilha!D61</f>
        <v>PINTURA ACRÍLICA EM PAREDE, DUAS (2) DEMÃOS, EXCLUSIVE SELADOR ACRÍLICO E MASSA ACRÍLICA/CORRIDA (PVA)</v>
      </c>
      <c r="E61" s="14" t="str">
        <f>Planilha!E61</f>
        <v>m²</v>
      </c>
      <c r="F61" s="223" t="s">
        <v>240</v>
      </c>
      <c r="G61" s="223"/>
      <c r="H61" s="223" t="s">
        <v>65</v>
      </c>
      <c r="I61" s="223"/>
      <c r="J61" s="94">
        <f>J57</f>
        <v>29.24</v>
      </c>
    </row>
    <row r="62" spans="1:10" ht="130.5" customHeight="1" x14ac:dyDescent="0.25">
      <c r="A62" s="13" t="str">
        <f>Planilha!A62</f>
        <v>setop</v>
      </c>
      <c r="B62" s="14" t="str">
        <f>Planilha!B62</f>
        <v>ED-50459</v>
      </c>
      <c r="C62" s="16" t="str">
        <f>Planilha!C62</f>
        <v>6.12</v>
      </c>
      <c r="D62" s="90" t="str">
        <f>Planilha!D62</f>
        <v>PINTURA ACRÍLICA PARA PISO EM PASSEIO/SUPERFÍCIE CIMENTADA, DUAS (2) DEMÃOS</v>
      </c>
      <c r="E62" s="14" t="str">
        <f>Planilha!E62</f>
        <v>m²</v>
      </c>
      <c r="F62" s="223" t="s">
        <v>240</v>
      </c>
      <c r="G62" s="223"/>
      <c r="H62" s="223" t="s">
        <v>65</v>
      </c>
      <c r="I62" s="223"/>
      <c r="J62" s="94">
        <f>J55</f>
        <v>333.47</v>
      </c>
    </row>
    <row r="63" spans="1:10" ht="130.5" customHeight="1" thickBot="1" x14ac:dyDescent="0.3">
      <c r="A63" s="13" t="str">
        <f>Planilha!A63</f>
        <v>setop</v>
      </c>
      <c r="B63" s="14" t="str">
        <f>Planilha!B63</f>
        <v>ED-51148</v>
      </c>
      <c r="C63" s="16" t="str">
        <f>Planilha!C63</f>
        <v>6.13</v>
      </c>
      <c r="D63" s="90" t="str">
        <f>Planilha!D63</f>
        <v>RAMPA PARA ACESSO DE DEFICIENTE, EM CONCRETO SIMPLES FCK = 25 MPA, DESEMPENADA, COM PINTURA INDICATIVA, 02 DEMÃOS</v>
      </c>
      <c r="E63" s="14" t="str">
        <f>Planilha!E63</f>
        <v>U</v>
      </c>
      <c r="F63" s="223" t="s">
        <v>240</v>
      </c>
      <c r="G63" s="223"/>
      <c r="H63" s="223" t="s">
        <v>65</v>
      </c>
      <c r="I63" s="223"/>
      <c r="J63" s="94">
        <v>1</v>
      </c>
    </row>
    <row r="64" spans="1:10" ht="25.15" customHeight="1" thickBot="1" x14ac:dyDescent="0.3">
      <c r="A64" s="3">
        <f>Planilha!A64</f>
        <v>7</v>
      </c>
      <c r="B64" s="225" t="str">
        <f>Planilha!B64</f>
        <v>PAISAGISMO</v>
      </c>
      <c r="C64" s="226"/>
      <c r="D64" s="226"/>
      <c r="E64" s="226"/>
      <c r="F64" s="226"/>
      <c r="G64" s="226"/>
      <c r="H64" s="226"/>
      <c r="I64" s="226"/>
      <c r="J64" s="227"/>
    </row>
    <row r="65" spans="1:10" ht="130.5" customHeight="1" x14ac:dyDescent="0.25">
      <c r="A65" s="13" t="str">
        <f>Planilha!A65</f>
        <v>setop</v>
      </c>
      <c r="B65" s="14" t="str">
        <f>Planilha!B65</f>
        <v>ED-50437</v>
      </c>
      <c r="C65" s="16" t="str">
        <f>Planilha!C65</f>
        <v>7.1</v>
      </c>
      <c r="D65" s="90" t="str">
        <f>Planilha!D65</f>
        <v>PLANTIO DE GRAMA ESMERALDA EM PLACAS, INCLUSIVE TERRA VEGETAL E CONSERVAÇÃO POR TRINTA (30) DIAS</v>
      </c>
      <c r="E65" s="14" t="str">
        <f>Planilha!E65</f>
        <v>m²</v>
      </c>
      <c r="F65" s="223" t="s">
        <v>240</v>
      </c>
      <c r="G65" s="223"/>
      <c r="H65" s="223" t="s">
        <v>251</v>
      </c>
      <c r="I65" s="223"/>
      <c r="J65" s="92">
        <f>14*8.27</f>
        <v>115.78</v>
      </c>
    </row>
    <row r="66" spans="1:10" ht="130.5" customHeight="1" x14ac:dyDescent="0.25">
      <c r="A66" s="13" t="str">
        <f>Planilha!A66</f>
        <v>setop</v>
      </c>
      <c r="B66" s="14" t="str">
        <f>Planilha!B66</f>
        <v>ED-50432</v>
      </c>
      <c r="C66" s="16" t="str">
        <f>Planilha!C66</f>
        <v>7.2</v>
      </c>
      <c r="D66" s="90" t="str">
        <f>Planilha!D66</f>
        <v>PLANTIO E PREPARO DE COVAS PARA ÁRVORES COM ALTURA MÉDIA DE 2,00M, DIMENSÕES (60X60X60)CM , EXCLUSIVE FORNECIMENTO DAS MUDAS</v>
      </c>
      <c r="E66" s="14" t="str">
        <f>Planilha!E66</f>
        <v>un</v>
      </c>
      <c r="F66" s="223" t="s">
        <v>240</v>
      </c>
      <c r="G66" s="223"/>
      <c r="H66" s="223" t="s">
        <v>65</v>
      </c>
      <c r="I66" s="223"/>
      <c r="J66" s="93">
        <v>7</v>
      </c>
    </row>
    <row r="67" spans="1:10" ht="130.5" customHeight="1" thickBot="1" x14ac:dyDescent="0.3">
      <c r="A67" s="13" t="str">
        <f>Planilha!A67</f>
        <v>setop</v>
      </c>
      <c r="B67" s="14" t="str">
        <f>Planilha!B67</f>
        <v>ED-50441</v>
      </c>
      <c r="C67" s="16" t="str">
        <f>Planilha!C67</f>
        <v>7.3</v>
      </c>
      <c r="D67" s="90" t="str">
        <f>Planilha!D67</f>
        <v>FORNECIMENTO DE ÁRVORE ACÁSSIA MIMOSA COM ALTURA MÉDIA DE 2,00M, EXCLUSIVE PLANTIO</v>
      </c>
      <c r="E67" s="14" t="str">
        <f>Planilha!E67</f>
        <v>un</v>
      </c>
      <c r="F67" s="223" t="s">
        <v>240</v>
      </c>
      <c r="G67" s="223"/>
      <c r="H67" s="223" t="s">
        <v>65</v>
      </c>
      <c r="I67" s="223"/>
      <c r="J67" s="94">
        <v>7</v>
      </c>
    </row>
    <row r="68" spans="1:10" ht="25.15" customHeight="1" thickBot="1" x14ac:dyDescent="0.3">
      <c r="A68" s="3">
        <f>Planilha!A68</f>
        <v>8</v>
      </c>
      <c r="B68" s="225" t="str">
        <f>Planilha!B68</f>
        <v>SINALIZAÇÃO</v>
      </c>
      <c r="C68" s="226"/>
      <c r="D68" s="226"/>
      <c r="E68" s="226"/>
      <c r="F68" s="226"/>
      <c r="G68" s="226"/>
      <c r="H68" s="226"/>
      <c r="I68" s="226"/>
      <c r="J68" s="227"/>
    </row>
    <row r="69" spans="1:10" ht="130.5" customHeight="1" x14ac:dyDescent="0.25">
      <c r="A69" s="13" t="str">
        <f>Planilha!A69</f>
        <v>setop</v>
      </c>
      <c r="B69" s="14" t="str">
        <f>Planilha!B69</f>
        <v xml:space="preserve">RO-42981 </v>
      </c>
      <c r="C69" s="16" t="str">
        <f>Planilha!C69</f>
        <v>8.1</v>
      </c>
      <c r="D69" s="90" t="str">
        <f>Planilha!D69</f>
        <v>PLACA DE AÇO CARBONO COM PELÍCULA REFLETIVA ALTA INTENSIDADE PRISMÁTICA TIPO III DA ABNT - PLACA RETANGULAR (EXECUÇÃO, INCLUINDO FORNECIMENTO E TRANSPORTE DE TODOS OS MATERIAIS, INCLUSIVE POSTES DE SUSTENTAÇÃO)</v>
      </c>
      <c r="E69" s="14" t="str">
        <f>Planilha!E69</f>
        <v>m²</v>
      </c>
      <c r="F69" s="223" t="s">
        <v>240</v>
      </c>
      <c r="G69" s="223"/>
      <c r="H69" s="223" t="s">
        <v>249</v>
      </c>
      <c r="I69" s="223"/>
      <c r="J69" s="92">
        <f>0.6*0.8*2</f>
        <v>0.96</v>
      </c>
    </row>
    <row r="70" spans="1:10" ht="130.5" customHeight="1" thickBot="1" x14ac:dyDescent="0.3">
      <c r="A70" s="13" t="str">
        <f>Planilha!A70</f>
        <v>setop</v>
      </c>
      <c r="B70" s="14" t="str">
        <f>Planilha!B70</f>
        <v>RO-41243</v>
      </c>
      <c r="C70" s="16" t="str">
        <f>Planilha!C70</f>
        <v>8.2</v>
      </c>
      <c r="D70" s="90" t="str">
        <f>Planilha!D70</f>
        <v>LINHAS DE RESINA ACRILICA 0,6MM COM LARGURA &gt; 0,30M (EXECUÇÃO, INCLUSIVE PRÉ-MARCAÇÃO, FORNECIMENTO E TRANSPORTE DE TODOS OS MATERIAIS)</v>
      </c>
      <c r="E70" s="14" t="str">
        <f>Planilha!E70</f>
        <v>m²</v>
      </c>
      <c r="F70" s="223" t="s">
        <v>240</v>
      </c>
      <c r="G70" s="223"/>
      <c r="H70" s="223" t="s">
        <v>250</v>
      </c>
      <c r="I70" s="223"/>
      <c r="J70" s="94">
        <f>4*6</f>
        <v>24</v>
      </c>
    </row>
    <row r="71" spans="1:10" ht="25.15" customHeight="1" thickBot="1" x14ac:dyDescent="0.3">
      <c r="A71" s="3">
        <f>Planilha!A71</f>
        <v>9</v>
      </c>
      <c r="B71" s="225" t="str">
        <f>Planilha!B71</f>
        <v>LIMPEZA FINAL PARA ENTREGA DA OBRA</v>
      </c>
      <c r="C71" s="226"/>
      <c r="D71" s="226"/>
      <c r="E71" s="226"/>
      <c r="F71" s="226"/>
      <c r="G71" s="226"/>
      <c r="H71" s="226"/>
      <c r="I71" s="226"/>
      <c r="J71" s="227"/>
    </row>
    <row r="72" spans="1:10" ht="130.5" customHeight="1" thickBot="1" x14ac:dyDescent="0.3">
      <c r="A72" s="13" t="str">
        <f>Planilha!A72</f>
        <v>Setop</v>
      </c>
      <c r="B72" s="14" t="str">
        <f>Planilha!B72</f>
        <v>ED-50266</v>
      </c>
      <c r="C72" s="16" t="str">
        <f>Planilha!C72</f>
        <v>9.1</v>
      </c>
      <c r="D72" s="90" t="str">
        <f>Planilha!D72</f>
        <v>LIMPEZA FINAL PARA ENTREGA DA OBRA</v>
      </c>
      <c r="E72" s="14" t="str">
        <f>Planilha!E72</f>
        <v>m²</v>
      </c>
      <c r="F72" s="223" t="s">
        <v>240</v>
      </c>
      <c r="G72" s="223"/>
      <c r="H72" s="223" t="s">
        <v>252</v>
      </c>
      <c r="I72" s="223"/>
      <c r="J72" s="92">
        <f>833.7+333.47+115.78</f>
        <v>1282.95</v>
      </c>
    </row>
    <row r="73" spans="1:10" ht="21" customHeight="1" x14ac:dyDescent="0.25">
      <c r="A73" s="266" t="s">
        <v>32</v>
      </c>
      <c r="B73" s="267"/>
      <c r="C73" s="267"/>
      <c r="D73" s="279"/>
      <c r="E73" s="282" t="s">
        <v>70</v>
      </c>
      <c r="F73" s="283"/>
      <c r="G73" s="283"/>
      <c r="H73" s="283"/>
      <c r="I73" s="283"/>
      <c r="J73" s="284"/>
    </row>
    <row r="74" spans="1:10" ht="15" customHeight="1" x14ac:dyDescent="0.25">
      <c r="A74" s="268"/>
      <c r="B74" s="269"/>
      <c r="C74" s="269"/>
      <c r="D74" s="280"/>
      <c r="E74" s="285"/>
      <c r="F74" s="286"/>
      <c r="G74" s="286"/>
      <c r="H74" s="286"/>
      <c r="I74" s="286"/>
      <c r="J74" s="287"/>
    </row>
    <row r="75" spans="1:10" ht="69.75" customHeight="1" x14ac:dyDescent="0.25">
      <c r="A75" s="268"/>
      <c r="B75" s="269"/>
      <c r="C75" s="269"/>
      <c r="D75" s="280"/>
      <c r="E75" s="285"/>
      <c r="F75" s="286"/>
      <c r="G75" s="286"/>
      <c r="H75" s="286"/>
      <c r="I75" s="286"/>
      <c r="J75" s="287"/>
    </row>
    <row r="76" spans="1:10" ht="97.5" customHeight="1" thickBot="1" x14ac:dyDescent="0.3">
      <c r="A76" s="291" t="s">
        <v>125</v>
      </c>
      <c r="B76" s="292"/>
      <c r="C76" s="292"/>
      <c r="D76" s="281"/>
      <c r="E76" s="288"/>
      <c r="F76" s="289"/>
      <c r="G76" s="289"/>
      <c r="H76" s="289"/>
      <c r="I76" s="289"/>
      <c r="J76" s="290"/>
    </row>
    <row r="77" spans="1:10" hidden="1" x14ac:dyDescent="0.25"/>
    <row r="83" ht="18.75" customHeight="1" x14ac:dyDescent="0.25"/>
  </sheetData>
  <mergeCells count="144">
    <mergeCell ref="H25:I25"/>
    <mergeCell ref="F21:G21"/>
    <mergeCell ref="H21:I21"/>
    <mergeCell ref="H43:I43"/>
    <mergeCell ref="F44:G44"/>
    <mergeCell ref="B45:J45"/>
    <mergeCell ref="H42:I42"/>
    <mergeCell ref="H61:I61"/>
    <mergeCell ref="F39:G39"/>
    <mergeCell ref="H39:I39"/>
    <mergeCell ref="D73:D76"/>
    <mergeCell ref="E73:J76"/>
    <mergeCell ref="F65:G65"/>
    <mergeCell ref="H65:I65"/>
    <mergeCell ref="F72:G72"/>
    <mergeCell ref="H72:I72"/>
    <mergeCell ref="F42:G42"/>
    <mergeCell ref="B64:J64"/>
    <mergeCell ref="F58:G58"/>
    <mergeCell ref="A76:C76"/>
    <mergeCell ref="F69:G69"/>
    <mergeCell ref="H69:I69"/>
    <mergeCell ref="F70:G70"/>
    <mergeCell ref="H70:I70"/>
    <mergeCell ref="B68:J68"/>
    <mergeCell ref="B71:J71"/>
    <mergeCell ref="H44:I44"/>
    <mergeCell ref="F46:G46"/>
    <mergeCell ref="F48:G48"/>
    <mergeCell ref="H48:I48"/>
    <mergeCell ref="F47:G47"/>
    <mergeCell ref="H47:I47"/>
    <mergeCell ref="F54:G54"/>
    <mergeCell ref="H54:I54"/>
    <mergeCell ref="F49:G49"/>
    <mergeCell ref="H49:I49"/>
    <mergeCell ref="B50:J50"/>
    <mergeCell ref="F67:G67"/>
    <mergeCell ref="H67:I67"/>
    <mergeCell ref="A73:C75"/>
    <mergeCell ref="F66:G66"/>
    <mergeCell ref="H66:I66"/>
    <mergeCell ref="A6:A7"/>
    <mergeCell ref="B6:B7"/>
    <mergeCell ref="C6:C7"/>
    <mergeCell ref="D6:D7"/>
    <mergeCell ref="E6:E7"/>
    <mergeCell ref="F6:G7"/>
    <mergeCell ref="B8:J8"/>
    <mergeCell ref="H6:I7"/>
    <mergeCell ref="J6:J7"/>
    <mergeCell ref="F9:G9"/>
    <mergeCell ref="H9:I9"/>
    <mergeCell ref="F41:G41"/>
    <mergeCell ref="H41:I41"/>
    <mergeCell ref="F11:G11"/>
    <mergeCell ref="H11:I11"/>
    <mergeCell ref="F32:G32"/>
    <mergeCell ref="H32:I32"/>
    <mergeCell ref="F17:G17"/>
    <mergeCell ref="H17:I17"/>
    <mergeCell ref="H5:J5"/>
    <mergeCell ref="A1:A5"/>
    <mergeCell ref="B1:G2"/>
    <mergeCell ref="H1:J1"/>
    <mergeCell ref="H2:J2"/>
    <mergeCell ref="B3:D3"/>
    <mergeCell ref="E3:G5"/>
    <mergeCell ref="H3:I3"/>
    <mergeCell ref="B4:D4"/>
    <mergeCell ref="H4:J4"/>
    <mergeCell ref="B5:D5"/>
    <mergeCell ref="F31:G31"/>
    <mergeCell ref="H31:I31"/>
    <mergeCell ref="F19:G19"/>
    <mergeCell ref="H19:I19"/>
    <mergeCell ref="F16:G16"/>
    <mergeCell ref="H16:I16"/>
    <mergeCell ref="F10:G10"/>
    <mergeCell ref="H10:I10"/>
    <mergeCell ref="F12:G12"/>
    <mergeCell ref="H12:I12"/>
    <mergeCell ref="B15:J15"/>
    <mergeCell ref="F18:G18"/>
    <mergeCell ref="F20:G20"/>
    <mergeCell ref="H20:I20"/>
    <mergeCell ref="F28:G28"/>
    <mergeCell ref="H28:I28"/>
    <mergeCell ref="F14:G14"/>
    <mergeCell ref="H14:I14"/>
    <mergeCell ref="F13:G13"/>
    <mergeCell ref="H13:I13"/>
    <mergeCell ref="H18:I18"/>
    <mergeCell ref="H26:I26"/>
    <mergeCell ref="B27:J27"/>
    <mergeCell ref="F25:G25"/>
    <mergeCell ref="F61:G61"/>
    <mergeCell ref="H35:I35"/>
    <mergeCell ref="F33:G33"/>
    <mergeCell ref="H33:I33"/>
    <mergeCell ref="B38:J38"/>
    <mergeCell ref="F53:G53"/>
    <mergeCell ref="H53:I53"/>
    <mergeCell ref="F63:G63"/>
    <mergeCell ref="F62:G62"/>
    <mergeCell ref="H62:I62"/>
    <mergeCell ref="F56:G56"/>
    <mergeCell ref="H56:I56"/>
    <mergeCell ref="F59:G59"/>
    <mergeCell ref="H59:I59"/>
    <mergeCell ref="F40:G40"/>
    <mergeCell ref="H40:I40"/>
    <mergeCell ref="F34:G34"/>
    <mergeCell ref="H34:I34"/>
    <mergeCell ref="H63:I63"/>
    <mergeCell ref="F57:G57"/>
    <mergeCell ref="H57:I57"/>
    <mergeCell ref="F60:G60"/>
    <mergeCell ref="H60:I60"/>
    <mergeCell ref="F36:G36"/>
    <mergeCell ref="H58:I58"/>
    <mergeCell ref="H46:I46"/>
    <mergeCell ref="F55:G55"/>
    <mergeCell ref="F51:G51"/>
    <mergeCell ref="H51:I51"/>
    <mergeCell ref="H55:I55"/>
    <mergeCell ref="F52:G52"/>
    <mergeCell ref="H52:I52"/>
    <mergeCell ref="F22:G22"/>
    <mergeCell ref="H22:I22"/>
    <mergeCell ref="F23:G23"/>
    <mergeCell ref="H23:I23"/>
    <mergeCell ref="F24:G24"/>
    <mergeCell ref="H24:I24"/>
    <mergeCell ref="F26:G26"/>
    <mergeCell ref="F35:G35"/>
    <mergeCell ref="F29:G29"/>
    <mergeCell ref="H29:I29"/>
    <mergeCell ref="F30:G30"/>
    <mergeCell ref="H30:I30"/>
    <mergeCell ref="H36:I36"/>
    <mergeCell ref="F37:G37"/>
    <mergeCell ref="H37:I37"/>
    <mergeCell ref="F43:G43"/>
  </mergeCells>
  <phoneticPr fontId="26" type="noConversion"/>
  <printOptions horizontalCentered="1" verticalCentered="1"/>
  <pageMargins left="0.51181102362204722" right="0.51181102362204722" top="0.78740157480314965" bottom="0.78740157480314965" header="0.31496062992125984" footer="0.31496062992125984"/>
  <pageSetup paperSize="9" scale="32" fitToHeight="0" orientation="landscape" r:id="rId1"/>
  <headerFooter>
    <oddHeader>&amp;L&amp;G</oddHeader>
    <oddFooter xml:space="preserve">&amp;CRJ Morais Engenharia e Arquitetura Ltda
www.rjmorais.com.br / rjmoraisengenharia@gmail.com / Fone: (37) 99954-4316
CNPJ: 42.441.571/0001-01
</oddFooter>
  </headerFooter>
  <rowBreaks count="5" manualBreakCount="5">
    <brk id="19" max="9" man="1"/>
    <brk id="28" max="9" man="1"/>
    <brk id="40" max="9" man="1"/>
    <brk id="53" max="9" man="1"/>
    <brk id="63" max="16383"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M33"/>
  <sheetViews>
    <sheetView showGridLines="0" view="pageBreakPreview" zoomScale="90" zoomScaleNormal="100" zoomScaleSheetLayoutView="90" workbookViewId="0">
      <selection activeCell="M24" sqref="M24"/>
    </sheetView>
  </sheetViews>
  <sheetFormatPr defaultRowHeight="15" x14ac:dyDescent="0.25"/>
  <cols>
    <col min="1" max="1" width="5.42578125" style="26" bestFit="1" customWidth="1"/>
    <col min="2" max="2" width="9.140625" style="26"/>
    <col min="3" max="3" width="40" style="26" customWidth="1"/>
    <col min="4" max="4" width="12.28515625" style="26" bestFit="1" customWidth="1"/>
    <col min="5" max="5" width="14.140625" style="26" bestFit="1" customWidth="1"/>
    <col min="6" max="6" width="12.85546875" style="26" customWidth="1"/>
    <col min="7" max="7" width="12.42578125" style="26" customWidth="1"/>
    <col min="8" max="8" width="12.5703125" style="26" bestFit="1" customWidth="1"/>
    <col min="9" max="9" width="12.42578125" style="26" customWidth="1"/>
    <col min="10" max="10" width="7.42578125" style="26" bestFit="1" customWidth="1"/>
    <col min="11" max="11" width="8.42578125" style="26" bestFit="1" customWidth="1"/>
    <col min="12" max="12" width="9.140625" style="26"/>
    <col min="13" max="13" width="13.5703125" style="26" bestFit="1" customWidth="1"/>
    <col min="14" max="16384" width="9.140625" style="26"/>
  </cols>
  <sheetData>
    <row r="1" spans="1:11" ht="16.5" thickBot="1" x14ac:dyDescent="0.3">
      <c r="A1" s="310"/>
      <c r="B1" s="311"/>
      <c r="C1" s="311"/>
      <c r="D1" s="311"/>
      <c r="E1" s="311"/>
      <c r="F1" s="311"/>
      <c r="G1" s="311"/>
      <c r="H1" s="311"/>
      <c r="I1" s="311"/>
      <c r="J1" s="311"/>
      <c r="K1" s="312"/>
    </row>
    <row r="2" spans="1:11" ht="16.5" thickBot="1" x14ac:dyDescent="0.3">
      <c r="A2" s="313" t="s">
        <v>13</v>
      </c>
      <c r="B2" s="314"/>
      <c r="C2" s="314"/>
      <c r="D2" s="314"/>
      <c r="E2" s="314"/>
      <c r="F2" s="314"/>
      <c r="G2" s="314"/>
      <c r="H2" s="314"/>
      <c r="I2" s="314"/>
      <c r="J2" s="314"/>
      <c r="K2" s="315"/>
    </row>
    <row r="3" spans="1:11" ht="15.75" thickBot="1" x14ac:dyDescent="0.3">
      <c r="A3" s="316" t="str">
        <f>Planilha!B5</f>
        <v>PREFEITURA MUNICIPAL DE CEDRO DO ABAETÉ - MG</v>
      </c>
      <c r="B3" s="317"/>
      <c r="C3" s="317"/>
      <c r="D3" s="317"/>
      <c r="E3" s="317"/>
      <c r="F3" s="317"/>
      <c r="G3" s="317"/>
      <c r="H3" s="317"/>
      <c r="I3" s="317"/>
      <c r="J3" s="317"/>
      <c r="K3" s="318"/>
    </row>
    <row r="4" spans="1:11" ht="29.25" customHeight="1" thickBot="1" x14ac:dyDescent="0.3">
      <c r="A4" s="299" t="str">
        <f>Planilha!B3</f>
        <v>REESTRUTURAÇÃO DO MURO DE ARRIMO DA RUA JÕAO RODRIGUES DOS SANTOS, TRECHOS ENTRE AS RUAS NOSSA SENHORA APARECIDA E DOM BOSCO</v>
      </c>
      <c r="B4" s="300"/>
      <c r="C4" s="300"/>
      <c r="D4" s="300"/>
      <c r="E4" s="300"/>
      <c r="F4" s="300"/>
      <c r="G4" s="300"/>
      <c r="H4" s="300"/>
      <c r="I4" s="323" t="str">
        <f>Planilha!H1</f>
        <v>DATA = ABRIL DE 2023</v>
      </c>
      <c r="J4" s="324"/>
      <c r="K4" s="325"/>
    </row>
    <row r="5" spans="1:11" ht="15.75" thickBot="1" x14ac:dyDescent="0.3">
      <c r="A5" s="295" t="str">
        <f>Planilha!B4</f>
        <v>LOCAL: RUA JOÃO RODRIGUES DOS SANTOS, CEDRO DO ABAETÉ - MG</v>
      </c>
      <c r="B5" s="296"/>
      <c r="C5" s="296"/>
      <c r="D5" s="296"/>
      <c r="E5" s="296"/>
      <c r="F5" s="296"/>
      <c r="G5" s="296"/>
      <c r="H5" s="296"/>
      <c r="I5" s="296"/>
      <c r="J5" s="12" t="s">
        <v>49</v>
      </c>
      <c r="K5" s="11" t="s">
        <v>254</v>
      </c>
    </row>
    <row r="6" spans="1:11" ht="26.25" thickBot="1" x14ac:dyDescent="0.3">
      <c r="A6" s="10" t="s">
        <v>2</v>
      </c>
      <c r="B6" s="319" t="s">
        <v>14</v>
      </c>
      <c r="C6" s="320"/>
      <c r="D6" s="7" t="s">
        <v>15</v>
      </c>
      <c r="E6" s="5" t="s">
        <v>16</v>
      </c>
      <c r="F6" s="6" t="s">
        <v>17</v>
      </c>
      <c r="G6" s="2" t="s">
        <v>18</v>
      </c>
      <c r="H6" s="2" t="s">
        <v>39</v>
      </c>
      <c r="I6" s="6" t="s">
        <v>46</v>
      </c>
      <c r="J6" s="321" t="s">
        <v>19</v>
      </c>
      <c r="K6" s="322"/>
    </row>
    <row r="7" spans="1:11" x14ac:dyDescent="0.25">
      <c r="A7" s="301">
        <v>1</v>
      </c>
      <c r="B7" s="303" t="str">
        <f>Planilha!B8</f>
        <v>SERVIÇOS PRELIMINARES</v>
      </c>
      <c r="C7" s="304"/>
      <c r="D7" s="27" t="s">
        <v>20</v>
      </c>
      <c r="E7" s="1">
        <f>E8/$E$25</f>
        <v>2.7212212923599769E-2</v>
      </c>
      <c r="F7" s="24">
        <v>1</v>
      </c>
      <c r="G7" s="25"/>
      <c r="H7" s="25"/>
      <c r="I7" s="25"/>
      <c r="J7" s="297">
        <f t="shared" ref="J7:J24" si="0">SUM(F7:I7)</f>
        <v>1</v>
      </c>
      <c r="K7" s="298"/>
    </row>
    <row r="8" spans="1:11" ht="15.75" thickBot="1" x14ac:dyDescent="0.3">
      <c r="A8" s="302"/>
      <c r="B8" s="305"/>
      <c r="C8" s="306"/>
      <c r="D8" s="28" t="s">
        <v>21</v>
      </c>
      <c r="E8" s="29">
        <f>Planilha!J8</f>
        <v>31745.50224768</v>
      </c>
      <c r="F8" s="30">
        <f>F7*$E8</f>
        <v>31745.50224768</v>
      </c>
      <c r="G8" s="30"/>
      <c r="H8" s="31"/>
      <c r="I8" s="30"/>
      <c r="J8" s="293">
        <f t="shared" si="0"/>
        <v>31745.50224768</v>
      </c>
      <c r="K8" s="294"/>
    </row>
    <row r="9" spans="1:11" ht="15" customHeight="1" x14ac:dyDescent="0.25">
      <c r="A9" s="301">
        <v>2</v>
      </c>
      <c r="B9" s="303" t="str">
        <f>Planilha!B15</f>
        <v>MURO DE ARRIMO</v>
      </c>
      <c r="C9" s="304"/>
      <c r="D9" s="27" t="s">
        <v>20</v>
      </c>
      <c r="E9" s="1">
        <f>E10/$E$25</f>
        <v>0.66767532214343661</v>
      </c>
      <c r="F9" s="24">
        <v>0.5</v>
      </c>
      <c r="G9" s="25">
        <v>0.5</v>
      </c>
      <c r="H9" s="25"/>
      <c r="I9" s="25"/>
      <c r="J9" s="297">
        <f t="shared" si="0"/>
        <v>1</v>
      </c>
      <c r="K9" s="298"/>
    </row>
    <row r="10" spans="1:11" ht="15.75" thickBot="1" x14ac:dyDescent="0.3">
      <c r="A10" s="302"/>
      <c r="B10" s="305"/>
      <c r="C10" s="306"/>
      <c r="D10" s="28" t="s">
        <v>21</v>
      </c>
      <c r="E10" s="29">
        <f>Planilha!J15</f>
        <v>778903.52024413983</v>
      </c>
      <c r="F10" s="30">
        <f>F9*$E10</f>
        <v>389451.76012206991</v>
      </c>
      <c r="G10" s="30">
        <f>G9*$E10</f>
        <v>389451.76012206991</v>
      </c>
      <c r="H10" s="31"/>
      <c r="I10" s="30"/>
      <c r="J10" s="293">
        <f t="shared" si="0"/>
        <v>778903.52024413983</v>
      </c>
      <c r="K10" s="294"/>
    </row>
    <row r="11" spans="1:11" ht="15" customHeight="1" x14ac:dyDescent="0.25">
      <c r="A11" s="301">
        <v>3</v>
      </c>
      <c r="B11" s="303" t="str">
        <f>Planilha!B27</f>
        <v>DRENAGEM PLUVIAL</v>
      </c>
      <c r="C11" s="304"/>
      <c r="D11" s="27" t="s">
        <v>20</v>
      </c>
      <c r="E11" s="1">
        <f>E12/$E$25</f>
        <v>9.6299064822344821E-2</v>
      </c>
      <c r="F11" s="24">
        <v>0.2</v>
      </c>
      <c r="G11" s="25">
        <v>0.3</v>
      </c>
      <c r="H11" s="25">
        <v>0.5</v>
      </c>
      <c r="I11" s="25"/>
      <c r="J11" s="297">
        <f t="shared" si="0"/>
        <v>1</v>
      </c>
      <c r="K11" s="298"/>
    </row>
    <row r="12" spans="1:11" ht="15.75" thickBot="1" x14ac:dyDescent="0.3">
      <c r="A12" s="302"/>
      <c r="B12" s="305"/>
      <c r="C12" s="306"/>
      <c r="D12" s="28" t="s">
        <v>21</v>
      </c>
      <c r="E12" s="29">
        <f>Planilha!J27</f>
        <v>112341.55</v>
      </c>
      <c r="F12" s="30">
        <f>F11*$E12</f>
        <v>22468.31</v>
      </c>
      <c r="G12" s="30">
        <f t="shared" ref="G12:H12" si="1">G11*$E12</f>
        <v>33702.464999999997</v>
      </c>
      <c r="H12" s="30">
        <f t="shared" si="1"/>
        <v>56170.775000000001</v>
      </c>
      <c r="I12" s="30"/>
      <c r="J12" s="293">
        <f t="shared" si="0"/>
        <v>112341.54999999999</v>
      </c>
      <c r="K12" s="294"/>
    </row>
    <row r="13" spans="1:11" ht="14.45" customHeight="1" x14ac:dyDescent="0.25">
      <c r="A13" s="335">
        <v>4</v>
      </c>
      <c r="B13" s="303" t="str">
        <f>Planilha!B38</f>
        <v>INSTALAÇÕES ELÉTRICAS</v>
      </c>
      <c r="C13" s="304"/>
      <c r="D13" s="27" t="s">
        <v>20</v>
      </c>
      <c r="E13" s="1">
        <f>E14/$E$25</f>
        <v>2.4336102609081173E-2</v>
      </c>
      <c r="F13" s="24"/>
      <c r="G13" s="25"/>
      <c r="H13" s="25">
        <v>0.5</v>
      </c>
      <c r="I13" s="25">
        <v>0.5</v>
      </c>
      <c r="J13" s="297">
        <f t="shared" si="0"/>
        <v>1</v>
      </c>
      <c r="K13" s="298"/>
    </row>
    <row r="14" spans="1:11" ht="15.75" thickBot="1" x14ac:dyDescent="0.3">
      <c r="A14" s="336"/>
      <c r="B14" s="305"/>
      <c r="C14" s="306"/>
      <c r="D14" s="28" t="s">
        <v>21</v>
      </c>
      <c r="E14" s="29">
        <f>Planilha!J38</f>
        <v>28390.26</v>
      </c>
      <c r="F14" s="30"/>
      <c r="G14" s="31"/>
      <c r="H14" s="31">
        <f>H13*$E14</f>
        <v>14195.13</v>
      </c>
      <c r="I14" s="31">
        <f>I13*$E14</f>
        <v>14195.13</v>
      </c>
      <c r="J14" s="293">
        <f t="shared" si="0"/>
        <v>28390.26</v>
      </c>
      <c r="K14" s="294"/>
    </row>
    <row r="15" spans="1:11" ht="15" customHeight="1" x14ac:dyDescent="0.25">
      <c r="A15" s="316">
        <v>5</v>
      </c>
      <c r="B15" s="303" t="str">
        <f>Planilha!B45</f>
        <v>PAVIMENTAÇÃO</v>
      </c>
      <c r="C15" s="304"/>
      <c r="D15" s="32" t="s">
        <v>20</v>
      </c>
      <c r="E15" s="19">
        <f>E16/$E$25</f>
        <v>0.10254341156488328</v>
      </c>
      <c r="F15" s="33"/>
      <c r="G15" s="25">
        <v>0.4</v>
      </c>
      <c r="H15" s="25">
        <v>0.6</v>
      </c>
      <c r="I15" s="25"/>
      <c r="J15" s="297">
        <f t="shared" si="0"/>
        <v>1</v>
      </c>
      <c r="K15" s="298"/>
    </row>
    <row r="16" spans="1:11" ht="17.25" customHeight="1" thickBot="1" x14ac:dyDescent="0.3">
      <c r="A16" s="316"/>
      <c r="B16" s="305"/>
      <c r="C16" s="306"/>
      <c r="D16" s="34" t="s">
        <v>21</v>
      </c>
      <c r="E16" s="35">
        <f>Planilha!J45</f>
        <v>119626.14402059997</v>
      </c>
      <c r="F16" s="36"/>
      <c r="G16" s="37">
        <f>G15*$E16</f>
        <v>47850.457608239987</v>
      </c>
      <c r="H16" s="37">
        <f>H15*$E16</f>
        <v>71775.686412359981</v>
      </c>
      <c r="I16" s="37"/>
      <c r="J16" s="293">
        <f t="shared" si="0"/>
        <v>119626.14402059997</v>
      </c>
      <c r="K16" s="294"/>
    </row>
    <row r="17" spans="1:13" ht="17.25" customHeight="1" x14ac:dyDescent="0.25">
      <c r="A17" s="301">
        <v>6</v>
      </c>
      <c r="B17" s="303" t="str">
        <f>Planilha!B50</f>
        <v>CALÇADA</v>
      </c>
      <c r="C17" s="304"/>
      <c r="D17" s="27" t="s">
        <v>20</v>
      </c>
      <c r="E17" s="1">
        <f>E18/$E$25</f>
        <v>6.6058181231036725E-2</v>
      </c>
      <c r="F17" s="38"/>
      <c r="G17" s="39"/>
      <c r="H17" s="39">
        <v>0.4</v>
      </c>
      <c r="I17" s="38">
        <v>0.6</v>
      </c>
      <c r="J17" s="297">
        <f t="shared" si="0"/>
        <v>1</v>
      </c>
      <c r="K17" s="298"/>
    </row>
    <row r="18" spans="1:13" ht="17.25" customHeight="1" thickBot="1" x14ac:dyDescent="0.3">
      <c r="A18" s="302"/>
      <c r="B18" s="305"/>
      <c r="C18" s="306"/>
      <c r="D18" s="28" t="s">
        <v>21</v>
      </c>
      <c r="E18" s="29">
        <f>Planilha!J50</f>
        <v>77062.83008424002</v>
      </c>
      <c r="F18" s="40"/>
      <c r="G18" s="41"/>
      <c r="H18" s="41">
        <f>H17*$E18</f>
        <v>30825.132033696009</v>
      </c>
      <c r="I18" s="41">
        <f>I17*$E18</f>
        <v>46237.698050544008</v>
      </c>
      <c r="J18" s="293">
        <f t="shared" si="0"/>
        <v>77062.83008424002</v>
      </c>
      <c r="K18" s="294"/>
    </row>
    <row r="19" spans="1:13" ht="15" customHeight="1" x14ac:dyDescent="0.25">
      <c r="A19" s="301">
        <v>7</v>
      </c>
      <c r="B19" s="303" t="str">
        <f>Planilha!B64</f>
        <v>PAISAGISMO</v>
      </c>
      <c r="C19" s="304"/>
      <c r="D19" s="27" t="s">
        <v>20</v>
      </c>
      <c r="E19" s="1">
        <f>E20/$E$25</f>
        <v>5.0159000189776842E-3</v>
      </c>
      <c r="F19" s="38"/>
      <c r="G19" s="39"/>
      <c r="H19" s="39"/>
      <c r="I19" s="38">
        <v>1</v>
      </c>
      <c r="J19" s="297">
        <f t="shared" si="0"/>
        <v>1</v>
      </c>
      <c r="K19" s="298"/>
    </row>
    <row r="20" spans="1:13" ht="15.75" customHeight="1" thickBot="1" x14ac:dyDescent="0.3">
      <c r="A20" s="302"/>
      <c r="B20" s="305"/>
      <c r="C20" s="306"/>
      <c r="D20" s="28" t="s">
        <v>21</v>
      </c>
      <c r="E20" s="29">
        <f>Planilha!J64</f>
        <v>5851.5000516</v>
      </c>
      <c r="F20" s="42"/>
      <c r="G20" s="41"/>
      <c r="H20" s="41"/>
      <c r="I20" s="41">
        <f>I19*$E20</f>
        <v>5851.5000516</v>
      </c>
      <c r="J20" s="293">
        <f t="shared" si="0"/>
        <v>5851.5000516</v>
      </c>
      <c r="K20" s="294"/>
    </row>
    <row r="21" spans="1:13" ht="15" customHeight="1" x14ac:dyDescent="0.25">
      <c r="A21" s="301">
        <v>8</v>
      </c>
      <c r="B21" s="303" t="str">
        <f>Planilha!B68</f>
        <v>SINALIZAÇÃO</v>
      </c>
      <c r="C21" s="304"/>
      <c r="D21" s="32" t="s">
        <v>20</v>
      </c>
      <c r="E21" s="1">
        <f>E22/$E$25</f>
        <v>1.3840191034697128E-3</v>
      </c>
      <c r="F21" s="43"/>
      <c r="G21" s="25"/>
      <c r="H21" s="25"/>
      <c r="I21" s="25">
        <v>1</v>
      </c>
      <c r="J21" s="297">
        <f t="shared" si="0"/>
        <v>1</v>
      </c>
      <c r="K21" s="298"/>
    </row>
    <row r="22" spans="1:13" ht="17.25" customHeight="1" thickBot="1" x14ac:dyDescent="0.3">
      <c r="A22" s="302"/>
      <c r="B22" s="305"/>
      <c r="C22" s="306"/>
      <c r="D22" s="34" t="s">
        <v>21</v>
      </c>
      <c r="E22" s="35">
        <f>Planilha!J68</f>
        <v>1614.5831904000001</v>
      </c>
      <c r="F22" s="44"/>
      <c r="G22" s="37"/>
      <c r="H22" s="37"/>
      <c r="I22" s="41">
        <f>I21*$E22</f>
        <v>1614.5831904000001</v>
      </c>
      <c r="J22" s="293">
        <f t="shared" si="0"/>
        <v>1614.5831904000001</v>
      </c>
      <c r="K22" s="294"/>
    </row>
    <row r="23" spans="1:13" ht="17.25" customHeight="1" x14ac:dyDescent="0.25">
      <c r="A23" s="301">
        <v>9</v>
      </c>
      <c r="B23" s="303" t="str">
        <f>Planilha!B71</f>
        <v>LIMPEZA FINAL PARA ENTREGA DA OBRA</v>
      </c>
      <c r="C23" s="304"/>
      <c r="D23" s="27" t="s">
        <v>20</v>
      </c>
      <c r="E23" s="1">
        <f>E24/$E$25</f>
        <v>9.4757855831703684E-3</v>
      </c>
      <c r="F23" s="38"/>
      <c r="G23" s="39"/>
      <c r="H23" s="39"/>
      <c r="I23" s="38">
        <v>1</v>
      </c>
      <c r="J23" s="297">
        <f t="shared" si="0"/>
        <v>1</v>
      </c>
      <c r="K23" s="298"/>
    </row>
    <row r="24" spans="1:13" ht="17.25" customHeight="1" thickBot="1" x14ac:dyDescent="0.3">
      <c r="A24" s="302"/>
      <c r="B24" s="305"/>
      <c r="C24" s="306"/>
      <c r="D24" s="28" t="s">
        <v>21</v>
      </c>
      <c r="E24" s="29">
        <f>Planilha!J71</f>
        <v>11054.359062000001</v>
      </c>
      <c r="F24" s="40"/>
      <c r="G24" s="41"/>
      <c r="H24" s="41"/>
      <c r="I24" s="41">
        <f>I23*$E24</f>
        <v>11054.359062000001</v>
      </c>
      <c r="J24" s="293">
        <f t="shared" si="0"/>
        <v>11054.359062000001</v>
      </c>
      <c r="K24" s="294"/>
    </row>
    <row r="25" spans="1:13" s="20" customFormat="1" ht="15.75" customHeight="1" thickBot="1" x14ac:dyDescent="0.3">
      <c r="A25" s="301" t="s">
        <v>68</v>
      </c>
      <c r="B25" s="309"/>
      <c r="C25" s="309"/>
      <c r="D25" s="309"/>
      <c r="E25" s="96">
        <f>E8+E10+E12+E14+E16+E18+E20+E22+E24</f>
        <v>1166590.2489006596</v>
      </c>
      <c r="F25" s="96">
        <f>F8+F10+F12+F14+F16+F18+F20+F22+F24</f>
        <v>443665.57236974989</v>
      </c>
      <c r="G25" s="96">
        <f t="shared" ref="G25:I25" si="2">G8+G10+G12+G14+G16+G18+G20+G22+G24</f>
        <v>471004.6827303099</v>
      </c>
      <c r="H25" s="96">
        <f t="shared" si="2"/>
        <v>172966.72344605598</v>
      </c>
      <c r="I25" s="96">
        <f t="shared" si="2"/>
        <v>78953.270354544002</v>
      </c>
      <c r="J25" s="339">
        <f>J8+J10+J12+J14+J16+J18+J20+J22+J24</f>
        <v>1166590.2489006596</v>
      </c>
      <c r="K25" s="340"/>
    </row>
    <row r="26" spans="1:13" ht="14.45" customHeight="1" x14ac:dyDescent="0.25">
      <c r="A26" s="326" t="s">
        <v>32</v>
      </c>
      <c r="B26" s="327"/>
      <c r="C26" s="327"/>
      <c r="D26" s="21"/>
      <c r="E26" s="330" t="s">
        <v>69</v>
      </c>
      <c r="F26" s="330"/>
      <c r="G26" s="330"/>
      <c r="H26" s="330"/>
      <c r="I26" s="330"/>
      <c r="J26" s="331"/>
      <c r="K26" s="332"/>
      <c r="L26" s="45"/>
    </row>
    <row r="27" spans="1:13" x14ac:dyDescent="0.25">
      <c r="A27" s="328"/>
      <c r="B27" s="329"/>
      <c r="C27" s="329"/>
      <c r="D27" s="22"/>
      <c r="E27" s="330"/>
      <c r="F27" s="330"/>
      <c r="G27" s="330"/>
      <c r="H27" s="330"/>
      <c r="I27" s="330"/>
      <c r="J27" s="330"/>
      <c r="K27" s="333"/>
      <c r="L27" s="45"/>
    </row>
    <row r="28" spans="1:13" ht="20.45" customHeight="1" x14ac:dyDescent="0.25">
      <c r="A28" s="328"/>
      <c r="B28" s="329"/>
      <c r="C28" s="329"/>
      <c r="D28" s="22"/>
      <c r="E28" s="330"/>
      <c r="F28" s="330"/>
      <c r="G28" s="330"/>
      <c r="H28" s="330"/>
      <c r="I28" s="330"/>
      <c r="J28" s="330"/>
      <c r="K28" s="333"/>
      <c r="L28" s="45"/>
      <c r="M28" s="88"/>
    </row>
    <row r="29" spans="1:13" ht="15" customHeight="1" x14ac:dyDescent="0.25">
      <c r="A29" s="328" t="s">
        <v>47</v>
      </c>
      <c r="B29" s="329"/>
      <c r="C29" s="329"/>
      <c r="D29" s="89"/>
      <c r="E29" s="337"/>
      <c r="F29" s="337"/>
      <c r="G29" s="337"/>
      <c r="H29" s="337"/>
      <c r="I29" s="337"/>
      <c r="J29" s="337"/>
      <c r="K29" s="338"/>
      <c r="L29" s="45"/>
    </row>
    <row r="30" spans="1:13" ht="15" customHeight="1" thickBot="1" x14ac:dyDescent="0.3">
      <c r="A30" s="307" t="s">
        <v>48</v>
      </c>
      <c r="B30" s="308"/>
      <c r="C30" s="308"/>
      <c r="D30" s="23"/>
      <c r="E30" s="86"/>
      <c r="F30" s="86"/>
      <c r="G30" s="86"/>
      <c r="H30" s="86"/>
      <c r="I30" s="86"/>
      <c r="J30" s="86"/>
      <c r="K30" s="87"/>
      <c r="L30" s="45"/>
    </row>
    <row r="33" spans="3:6" ht="18" x14ac:dyDescent="0.25">
      <c r="C33" s="46"/>
      <c r="D33" s="334"/>
      <c r="E33" s="334"/>
      <c r="F33" s="334"/>
    </row>
  </sheetData>
  <mergeCells count="52">
    <mergeCell ref="A23:A24"/>
    <mergeCell ref="B23:C24"/>
    <mergeCell ref="J23:K23"/>
    <mergeCell ref="J24:K24"/>
    <mergeCell ref="J17:K17"/>
    <mergeCell ref="J18:K18"/>
    <mergeCell ref="J25:K25"/>
    <mergeCell ref="J19:K19"/>
    <mergeCell ref="J20:K20"/>
    <mergeCell ref="J21:K21"/>
    <mergeCell ref="J22:K22"/>
    <mergeCell ref="D33:F33"/>
    <mergeCell ref="A7:A8"/>
    <mergeCell ref="B7:C8"/>
    <mergeCell ref="B19:C20"/>
    <mergeCell ref="A13:A14"/>
    <mergeCell ref="A15:A16"/>
    <mergeCell ref="B15:C16"/>
    <mergeCell ref="B13:C14"/>
    <mergeCell ref="A19:A20"/>
    <mergeCell ref="A11:A12"/>
    <mergeCell ref="A17:A18"/>
    <mergeCell ref="B11:C12"/>
    <mergeCell ref="A21:A22"/>
    <mergeCell ref="B21:C22"/>
    <mergeCell ref="A29:C29"/>
    <mergeCell ref="E29:K29"/>
    <mergeCell ref="A30:C30"/>
    <mergeCell ref="A25:D25"/>
    <mergeCell ref="A1:K1"/>
    <mergeCell ref="A2:K2"/>
    <mergeCell ref="A3:K3"/>
    <mergeCell ref="B6:C6"/>
    <mergeCell ref="J6:K6"/>
    <mergeCell ref="I4:K4"/>
    <mergeCell ref="B17:C18"/>
    <mergeCell ref="A26:C28"/>
    <mergeCell ref="E26:K28"/>
    <mergeCell ref="J9:K9"/>
    <mergeCell ref="J10:K10"/>
    <mergeCell ref="J14:K14"/>
    <mergeCell ref="J15:K15"/>
    <mergeCell ref="J16:K16"/>
    <mergeCell ref="J8:K8"/>
    <mergeCell ref="A5:I5"/>
    <mergeCell ref="J12:K12"/>
    <mergeCell ref="J13:K13"/>
    <mergeCell ref="A4:H4"/>
    <mergeCell ref="A9:A10"/>
    <mergeCell ref="B9:C10"/>
    <mergeCell ref="J11:K11"/>
    <mergeCell ref="J7:K7"/>
  </mergeCells>
  <conditionalFormatting sqref="F7:I7 F9:I9 F11:I11 F13:I13 F15:I15 F17:I17 F19:I19 F21:I21 F23:I23">
    <cfRule type="cellIs" dxfId="5" priority="25" operator="greaterThan">
      <formula>0</formula>
    </cfRule>
  </conditionalFormatting>
  <printOptions horizontalCentered="1" verticalCentered="1"/>
  <pageMargins left="0.51181102362204722" right="0.51181102362204722" top="1.3779527559055118" bottom="0.78740157480314965" header="0.31496062992125984" footer="0.31496062992125984"/>
  <pageSetup paperSize="9" scale="80" orientation="landscape" r:id="rId1"/>
  <headerFooter>
    <oddHeader>&amp;L&amp;G</oddHeader>
    <oddFooter xml:space="preserve">&amp;CRJ Morais Engenharia e Arquitetura Ltda
www.rjmorais.com.br / rjmoraisengenharia@gmail.com / Fone: (37) 99954-4316
CNPJ: 42.441.571/0001-01
</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C44D1-2C83-45DF-9811-0F625D6D4A2D}">
  <sheetPr>
    <pageSetUpPr fitToPage="1"/>
  </sheetPr>
  <dimension ref="A1:K27"/>
  <sheetViews>
    <sheetView view="pageBreakPreview" zoomScale="85" zoomScaleNormal="100" zoomScaleSheetLayoutView="85" workbookViewId="0">
      <selection activeCell="I7" sqref="I7"/>
    </sheetView>
  </sheetViews>
  <sheetFormatPr defaultRowHeight="15" x14ac:dyDescent="0.25"/>
  <cols>
    <col min="1" max="1" width="6.28515625" customWidth="1"/>
    <col min="2" max="2" width="13.28515625" customWidth="1"/>
    <col min="3" max="3" width="33.85546875" customWidth="1"/>
    <col min="4" max="4" width="11.140625" customWidth="1"/>
    <col min="5" max="5" width="7.140625" customWidth="1"/>
    <col min="6" max="6" width="14.5703125" bestFit="1" customWidth="1"/>
    <col min="7" max="7" width="14.28515625" bestFit="1" customWidth="1"/>
    <col min="8" max="8" width="15.85546875" bestFit="1" customWidth="1"/>
    <col min="9" max="9" width="15.28515625" customWidth="1"/>
  </cols>
  <sheetData>
    <row r="1" spans="1:11" s="51" customFormat="1" ht="15" customHeight="1" x14ac:dyDescent="0.25">
      <c r="A1" s="376" t="s">
        <v>73</v>
      </c>
      <c r="B1" s="377"/>
      <c r="C1" s="377"/>
      <c r="D1" s="377"/>
      <c r="E1" s="377"/>
      <c r="F1" s="377"/>
      <c r="G1" s="377"/>
      <c r="H1" s="377"/>
      <c r="I1" s="378"/>
      <c r="J1" s="50"/>
      <c r="K1" s="50"/>
    </row>
    <row r="2" spans="1:11" s="51" customFormat="1" ht="21.6" hidden="1" customHeight="1" x14ac:dyDescent="0.25">
      <c r="A2" s="379" t="s">
        <v>74</v>
      </c>
      <c r="B2" s="380"/>
      <c r="C2" s="380"/>
      <c r="D2" s="381" t="s">
        <v>75</v>
      </c>
      <c r="E2" s="382"/>
      <c r="F2" s="383" t="s">
        <v>76</v>
      </c>
      <c r="G2" s="362"/>
      <c r="H2" s="362"/>
      <c r="I2" s="363"/>
      <c r="J2" s="52"/>
      <c r="K2" s="52"/>
    </row>
    <row r="3" spans="1:11" s="51" customFormat="1" ht="35.450000000000003" hidden="1" customHeight="1" x14ac:dyDescent="0.25">
      <c r="A3" s="384" t="str">
        <f>'[1]PLANILHA GERAL'!A3:D3</f>
        <v xml:space="preserve">OBJETO: Contratação eventual e futura de empresa especializada para prestação de serviços de elaboração de Projetos Complementares, Planilhas Orçamentárias e Memoriais Descritivos, atendendo às necessidades da Secretaria de Obras deste Município. </v>
      </c>
      <c r="B3" s="385"/>
      <c r="C3" s="385"/>
      <c r="D3" s="385"/>
      <c r="E3" s="385"/>
      <c r="F3" s="385"/>
      <c r="G3" s="385"/>
      <c r="H3" s="385"/>
      <c r="I3" s="386"/>
      <c r="J3" s="53"/>
      <c r="K3" s="53"/>
    </row>
    <row r="4" spans="1:11" s="51" customFormat="1" ht="28.5" customHeight="1" x14ac:dyDescent="0.25">
      <c r="A4" s="371" t="str">
        <f>Planilha!B5</f>
        <v>PREFEITURA MUNICIPAL DE CEDRO DO ABAETÉ - MG</v>
      </c>
      <c r="B4" s="372"/>
      <c r="C4" s="373"/>
      <c r="D4" s="361" t="str">
        <f>Planilha!B3</f>
        <v>REESTRUTURAÇÃO DO MURO DE ARRIMO DA RUA JÕAO RODRIGUES DOS SANTOS, TRECHOS ENTRE AS RUAS NOSSA SENHORA APARECIDA E DOM BOSCO</v>
      </c>
      <c r="E4" s="362"/>
      <c r="F4" s="362"/>
      <c r="G4" s="362"/>
      <c r="H4" s="362"/>
      <c r="I4" s="363"/>
      <c r="J4" s="53"/>
      <c r="K4" s="53"/>
    </row>
    <row r="5" spans="1:11" s="51" customFormat="1" ht="18" x14ac:dyDescent="0.25">
      <c r="A5" s="364" t="s">
        <v>99</v>
      </c>
      <c r="B5" s="365"/>
      <c r="C5" s="366"/>
      <c r="D5" s="349">
        <f>Planilha!J73</f>
        <v>1166590.2489006596</v>
      </c>
      <c r="E5" s="350"/>
      <c r="F5" s="54"/>
      <c r="G5" s="55" t="s">
        <v>30</v>
      </c>
      <c r="H5" s="56">
        <f>I7</f>
        <v>0.217</v>
      </c>
      <c r="I5" s="57"/>
      <c r="J5" s="58"/>
      <c r="K5" s="59"/>
    </row>
    <row r="6" spans="1:11" ht="20.25" x14ac:dyDescent="0.25">
      <c r="A6" s="367"/>
      <c r="B6" s="368"/>
      <c r="C6" s="368"/>
      <c r="D6" s="368"/>
      <c r="E6" s="368"/>
      <c r="F6" s="368"/>
      <c r="G6" s="368"/>
      <c r="H6" s="368"/>
      <c r="I6" s="369"/>
    </row>
    <row r="7" spans="1:11" x14ac:dyDescent="0.25">
      <c r="A7" s="367" t="s">
        <v>71</v>
      </c>
      <c r="B7" s="368"/>
      <c r="C7" s="368"/>
      <c r="D7" s="370" t="s">
        <v>78</v>
      </c>
      <c r="E7" s="370"/>
      <c r="F7" s="370"/>
      <c r="G7" s="370"/>
      <c r="H7" s="60" t="s">
        <v>79</v>
      </c>
      <c r="I7" s="61">
        <f>SUM(D9:E15)</f>
        <v>0.217</v>
      </c>
    </row>
    <row r="8" spans="1:11" x14ac:dyDescent="0.25">
      <c r="A8" s="367"/>
      <c r="B8" s="368"/>
      <c r="C8" s="368"/>
      <c r="D8" s="370" t="s">
        <v>80</v>
      </c>
      <c r="E8" s="370"/>
      <c r="F8" s="370"/>
      <c r="G8" s="370"/>
      <c r="H8" s="60" t="s">
        <v>81</v>
      </c>
      <c r="I8" s="61"/>
      <c r="K8" t="s">
        <v>77</v>
      </c>
    </row>
    <row r="9" spans="1:11" x14ac:dyDescent="0.25">
      <c r="A9" s="355" t="s">
        <v>82</v>
      </c>
      <c r="B9" s="356"/>
      <c r="C9" s="62" t="s">
        <v>83</v>
      </c>
      <c r="D9" s="354">
        <v>8.0000000000000002E-3</v>
      </c>
      <c r="E9" s="354"/>
      <c r="F9" s="359" t="s">
        <v>84</v>
      </c>
      <c r="G9" s="359"/>
      <c r="H9" s="359"/>
      <c r="I9" s="360"/>
    </row>
    <row r="10" spans="1:11" x14ac:dyDescent="0.25">
      <c r="A10" s="355" t="s">
        <v>85</v>
      </c>
      <c r="B10" s="356"/>
      <c r="C10" s="62" t="s">
        <v>86</v>
      </c>
      <c r="D10" s="354">
        <v>1.2699999999999999E-2</v>
      </c>
      <c r="E10" s="354"/>
      <c r="F10" s="359"/>
      <c r="G10" s="359"/>
      <c r="H10" s="359"/>
      <c r="I10" s="360"/>
    </row>
    <row r="11" spans="1:11" x14ac:dyDescent="0.25">
      <c r="A11" s="374" t="s">
        <v>87</v>
      </c>
      <c r="B11" s="375"/>
      <c r="C11" s="62" t="s">
        <v>88</v>
      </c>
      <c r="D11" s="354">
        <v>1.23E-2</v>
      </c>
      <c r="E11" s="354"/>
      <c r="F11" s="359"/>
      <c r="G11" s="359"/>
      <c r="H11" s="359"/>
      <c r="I11" s="360"/>
    </row>
    <row r="12" spans="1:11" x14ac:dyDescent="0.25">
      <c r="A12" s="355" t="s">
        <v>89</v>
      </c>
      <c r="B12" s="356"/>
      <c r="C12" s="62" t="s">
        <v>90</v>
      </c>
      <c r="D12" s="354">
        <v>0.04</v>
      </c>
      <c r="E12" s="354"/>
      <c r="F12" s="359"/>
      <c r="G12" s="359"/>
      <c r="H12" s="359"/>
      <c r="I12" s="360"/>
    </row>
    <row r="13" spans="1:11" x14ac:dyDescent="0.25">
      <c r="A13" s="355" t="s">
        <v>91</v>
      </c>
      <c r="B13" s="356"/>
      <c r="C13" s="62" t="s">
        <v>92</v>
      </c>
      <c r="D13" s="354">
        <v>7.3999999999999996E-2</v>
      </c>
      <c r="E13" s="354"/>
      <c r="F13" s="359"/>
      <c r="G13" s="359"/>
      <c r="H13" s="359"/>
      <c r="I13" s="360"/>
    </row>
    <row r="14" spans="1:11" x14ac:dyDescent="0.25">
      <c r="A14" s="355" t="s">
        <v>93</v>
      </c>
      <c r="B14" s="356"/>
      <c r="C14" s="62">
        <v>4.4999999999999998E-2</v>
      </c>
      <c r="D14" s="354">
        <v>4.4999999999999998E-2</v>
      </c>
      <c r="E14" s="354"/>
      <c r="F14" s="359"/>
      <c r="G14" s="359"/>
      <c r="H14" s="359"/>
      <c r="I14" s="360"/>
    </row>
    <row r="15" spans="1:11" x14ac:dyDescent="0.25">
      <c r="A15" s="355" t="s">
        <v>94</v>
      </c>
      <c r="B15" s="356"/>
      <c r="C15" s="62">
        <v>2.5000000000000001E-2</v>
      </c>
      <c r="D15" s="354">
        <v>2.5000000000000001E-2</v>
      </c>
      <c r="E15" s="354"/>
      <c r="F15" s="359"/>
      <c r="G15" s="359"/>
      <c r="H15" s="359"/>
      <c r="I15" s="360"/>
    </row>
    <row r="16" spans="1:11" x14ac:dyDescent="0.25">
      <c r="A16" s="64"/>
      <c r="B16" s="65"/>
      <c r="C16" s="66"/>
      <c r="D16" s="67"/>
      <c r="E16" s="67"/>
      <c r="F16" s="357" t="s">
        <v>95</v>
      </c>
      <c r="G16" s="357"/>
      <c r="H16" s="357"/>
      <c r="I16" s="358"/>
    </row>
    <row r="17" spans="1:11" x14ac:dyDescent="0.25">
      <c r="A17" s="69" t="s">
        <v>2</v>
      </c>
      <c r="B17" s="70" t="s">
        <v>1</v>
      </c>
      <c r="C17" s="68" t="s">
        <v>96</v>
      </c>
      <c r="D17" s="68" t="s">
        <v>97</v>
      </c>
      <c r="E17" s="68" t="s">
        <v>4</v>
      </c>
      <c r="F17" s="68" t="s">
        <v>100</v>
      </c>
      <c r="G17" s="68" t="s">
        <v>98</v>
      </c>
      <c r="H17" s="68" t="s">
        <v>101</v>
      </c>
      <c r="I17" s="68" t="s">
        <v>98</v>
      </c>
    </row>
    <row r="18" spans="1:11" ht="45" x14ac:dyDescent="0.25">
      <c r="A18" s="71">
        <v>1</v>
      </c>
      <c r="B18" s="72" t="s">
        <v>65</v>
      </c>
      <c r="C18" s="95" t="str">
        <f>D4</f>
        <v>REESTRUTURAÇÃO DO MURO DE ARRIMO DA RUA JÕAO RODRIGUES DOS SANTOS, TRECHOS ENTRE AS RUAS NOSSA SENHORA APARECIDA E DOM BOSCO</v>
      </c>
      <c r="D18" s="63" t="s">
        <v>97</v>
      </c>
      <c r="E18" s="73">
        <v>1</v>
      </c>
      <c r="F18" s="83">
        <f>Planilha!H73</f>
        <v>958608.48738000006</v>
      </c>
      <c r="G18" s="84">
        <f>E18*F18</f>
        <v>958608.48738000006</v>
      </c>
      <c r="H18" s="84">
        <f>D5</f>
        <v>1166590.2489006596</v>
      </c>
      <c r="I18" s="85">
        <f>E18*H18</f>
        <v>1166590.2489006596</v>
      </c>
    </row>
    <row r="19" spans="1:11" x14ac:dyDescent="0.25">
      <c r="A19" s="351" t="s">
        <v>19</v>
      </c>
      <c r="B19" s="352"/>
      <c r="C19" s="353"/>
      <c r="D19" s="352"/>
      <c r="E19" s="352"/>
      <c r="F19" s="352"/>
      <c r="G19" s="81">
        <f>G18</f>
        <v>958608.48738000006</v>
      </c>
      <c r="H19" s="74"/>
      <c r="I19" s="82">
        <f>I18</f>
        <v>1166590.2489006596</v>
      </c>
    </row>
    <row r="20" spans="1:11" x14ac:dyDescent="0.25">
      <c r="A20" s="75"/>
      <c r="I20" s="47"/>
    </row>
    <row r="21" spans="1:11" x14ac:dyDescent="0.25">
      <c r="A21" s="75"/>
      <c r="I21" s="47"/>
    </row>
    <row r="22" spans="1:11" x14ac:dyDescent="0.25">
      <c r="A22" s="75"/>
      <c r="I22" s="47"/>
    </row>
    <row r="23" spans="1:11" ht="33.75" customHeight="1" x14ac:dyDescent="0.25">
      <c r="A23" s="75"/>
      <c r="B23" s="341" t="s">
        <v>72</v>
      </c>
      <c r="C23" s="341"/>
      <c r="D23" s="341"/>
      <c r="E23" s="341"/>
      <c r="F23" s="341"/>
      <c r="G23" s="341"/>
      <c r="H23" s="341"/>
      <c r="I23" s="342"/>
      <c r="J23" s="76"/>
      <c r="K23" s="76"/>
    </row>
    <row r="24" spans="1:11" x14ac:dyDescent="0.25">
      <c r="A24" s="75"/>
      <c r="B24" s="343" t="s">
        <v>47</v>
      </c>
      <c r="C24" s="343"/>
      <c r="D24" s="343"/>
      <c r="E24" s="343"/>
      <c r="F24" s="343"/>
      <c r="G24" s="343"/>
      <c r="H24" s="343"/>
      <c r="I24" s="344"/>
      <c r="J24" s="77"/>
      <c r="K24" s="77"/>
    </row>
    <row r="25" spans="1:11" x14ac:dyDescent="0.25">
      <c r="A25" s="75"/>
      <c r="B25" s="345" t="s">
        <v>104</v>
      </c>
      <c r="C25" s="345"/>
      <c r="D25" s="345"/>
      <c r="E25" s="345"/>
      <c r="F25" s="345"/>
      <c r="G25" s="345"/>
      <c r="H25" s="345"/>
      <c r="I25" s="346"/>
      <c r="J25" s="78"/>
      <c r="K25" s="78"/>
    </row>
    <row r="26" spans="1:11" x14ac:dyDescent="0.25">
      <c r="A26" s="75"/>
      <c r="B26" s="347" t="s">
        <v>105</v>
      </c>
      <c r="C26" s="347"/>
      <c r="D26" s="347"/>
      <c r="E26" s="347"/>
      <c r="F26" s="347"/>
      <c r="G26" s="347"/>
      <c r="H26" s="347"/>
      <c r="I26" s="348"/>
      <c r="J26" s="79"/>
      <c r="K26" s="79"/>
    </row>
    <row r="27" spans="1:11" ht="15.75" thickBot="1" x14ac:dyDescent="0.3">
      <c r="A27" s="48"/>
      <c r="B27" s="80"/>
      <c r="C27" s="80"/>
      <c r="D27" s="80"/>
      <c r="E27" s="80"/>
      <c r="F27" s="80"/>
      <c r="G27" s="80"/>
      <c r="H27" s="80"/>
      <c r="I27" s="49"/>
    </row>
  </sheetData>
  <mergeCells count="34">
    <mergeCell ref="A1:I1"/>
    <mergeCell ref="A2:C2"/>
    <mergeCell ref="D2:E2"/>
    <mergeCell ref="F2:I2"/>
    <mergeCell ref="A3:I3"/>
    <mergeCell ref="A13:B13"/>
    <mergeCell ref="D4:I4"/>
    <mergeCell ref="A5:C5"/>
    <mergeCell ref="A6:I6"/>
    <mergeCell ref="A7:C8"/>
    <mergeCell ref="D7:G7"/>
    <mergeCell ref="D8:G8"/>
    <mergeCell ref="A4:C4"/>
    <mergeCell ref="D10:E10"/>
    <mergeCell ref="A11:B11"/>
    <mergeCell ref="D11:E11"/>
    <mergeCell ref="A12:B12"/>
    <mergeCell ref="D12:E12"/>
    <mergeCell ref="B23:I23"/>
    <mergeCell ref="B24:I24"/>
    <mergeCell ref="B25:I25"/>
    <mergeCell ref="B26:I26"/>
    <mergeCell ref="D5:E5"/>
    <mergeCell ref="A19:F19"/>
    <mergeCell ref="D13:E13"/>
    <mergeCell ref="A14:B14"/>
    <mergeCell ref="D14:E14"/>
    <mergeCell ref="A15:B15"/>
    <mergeCell ref="D15:E15"/>
    <mergeCell ref="F16:I16"/>
    <mergeCell ref="A9:B9"/>
    <mergeCell ref="D9:E9"/>
    <mergeCell ref="F9:I15"/>
    <mergeCell ref="A10:B10"/>
  </mergeCells>
  <conditionalFormatting sqref="A19 G19:I19">
    <cfRule type="cellIs" dxfId="4" priority="1" stopIfTrue="1" operator="equal">
      <formula>0</formula>
    </cfRule>
    <cfRule type="expression" dxfId="3" priority="2" stopIfTrue="1">
      <formula>SOMA</formula>
    </cfRule>
  </conditionalFormatting>
  <conditionalFormatting sqref="H7:H8">
    <cfRule type="cellIs" dxfId="2" priority="5" stopIfTrue="1" operator="notEqual">
      <formula>IF(H8="x",0)</formula>
    </cfRule>
  </conditionalFormatting>
  <conditionalFormatting sqref="I18">
    <cfRule type="cellIs" dxfId="1" priority="3" stopIfTrue="1" operator="equal">
      <formula>0</formula>
    </cfRule>
    <cfRule type="expression" dxfId="0" priority="4" stopIfTrue="1">
      <formula>SOMA</formula>
    </cfRule>
  </conditionalFormatting>
  <printOptions horizontalCentered="1"/>
  <pageMargins left="0.51181102362204722" right="0.51181102362204722" top="1.7716535433070868" bottom="0.78740157480314965" header="0.31496062992125984" footer="0.31496062992125984"/>
  <pageSetup paperSize="9" scale="70" orientation="portrait" horizontalDpi="300" verticalDpi="300" r:id="rId1"/>
  <headerFooter>
    <oddHeader>&amp;L&amp;G</oddHeader>
    <oddFooter xml:space="preserve">&amp;CRJ Morais Engenharia e Arquitetura Ltda
www.rjmorais.com.br / rjmoraisengenharia@gmail.com / Fone: (37) 99954-4316
CNPJ: 42.441.571/0001-01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Planilha</vt:lpstr>
      <vt:lpstr>memória de cálculo</vt:lpstr>
      <vt:lpstr>cronograma</vt:lpstr>
      <vt:lpstr>BDI</vt:lpstr>
      <vt:lpstr>BDI!Area_de_impressao</vt:lpstr>
      <vt:lpstr>cronograma!Area_de_impressao</vt:lpstr>
      <vt:lpstr>Planilha!Area_de_impressao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Isabella</dc:creator>
  <cp:lastModifiedBy>João Rafael '</cp:lastModifiedBy>
  <cp:lastPrinted>2023-04-26T17:00:35Z</cp:lastPrinted>
  <dcterms:created xsi:type="dcterms:W3CDTF">2018-08-13T11:37:25Z</dcterms:created>
  <dcterms:modified xsi:type="dcterms:W3CDTF">2024-08-07T16:21:24Z</dcterms:modified>
</cp:coreProperties>
</file>